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1\Dropbox\Financeiro\FINANCEIRO 2022\Reprogramação Extraordinária 2022.2\"/>
    </mc:Choice>
  </mc:AlternateContent>
  <xr:revisionPtr revIDLastSave="0" documentId="13_ncr:1_{944FCFB3-1EF5-4763-82DA-126A94F5F025}" xr6:coauthVersionLast="47" xr6:coauthVersionMax="47" xr10:uidLastSave="{00000000-0000-0000-0000-000000000000}"/>
  <bookViews>
    <workbookView xWindow="-120" yWindow="-120" windowWidth="29040" windowHeight="15840" tabRatio="884" firstSheet="1" activeTab="7" xr2:uid="{00000000-000D-0000-FFFF-FFFF00000000}"/>
  </bookViews>
  <sheets>
    <sheet name="Orientações Iniciais" sheetId="35" state="hidden" r:id="rId1"/>
    <sheet name="Mapa Estratégico e ODS" sheetId="36" r:id="rId2"/>
    <sheet name="Indicadores e Metas" sheetId="39" r:id="rId3"/>
    <sheet name="Quadro Geral" sheetId="15" r:id="rId4"/>
    <sheet name="Anexo 1. Fontes e Aplicações" sheetId="8" r:id="rId5"/>
    <sheet name="Anexo 2. Limites Estratégicos" sheetId="23" r:id="rId6"/>
    <sheet name="Anexo 3. Elemento de Despesas" sheetId="18" r:id="rId7"/>
    <sheet name="Anexo 4. " sheetId="43" r:id="rId8"/>
    <sheet name="DEMONSTRATIVO" sheetId="44" r:id="rId9"/>
    <sheet name="Validação de dados" sheetId="31" state="hidden" r:id="rId10"/>
    <sheet name="Anexo 4. Quadro Descritivo" sheetId="42" state="hidden" r:id="rId11"/>
    <sheet name="Diretrizes - Resumo" sheetId="40" r:id="rId12"/>
    <sheet name="Matriz de Obj. Estrat." sheetId="41" r:id="rId13"/>
  </sheets>
  <externalReferences>
    <externalReference r:id="rId14"/>
    <externalReference r:id="rId15"/>
  </externalReferences>
  <definedNames>
    <definedName name="__xlfn_IFERROR">#N/A</definedName>
    <definedName name="_xlnm._FilterDatabase" localSheetId="11" hidden="1">'Diretrizes - Resumo'!$A$3:$V$30</definedName>
    <definedName name="_xlnm._FilterDatabase" localSheetId="2" hidden="1">'Indicadores e Metas'!$A$30:$F$102</definedName>
    <definedName name="A" localSheetId="11">#REF!</definedName>
    <definedName name="A" localSheetId="2">#REF!</definedName>
    <definedName name="A" localSheetId="12">#REF!</definedName>
    <definedName name="A" localSheetId="0">#REF!</definedName>
    <definedName name="A" localSheetId="3">#REF!</definedName>
    <definedName name="A">#REF!</definedName>
    <definedName name="Anexo" localSheetId="2">#REF!</definedName>
    <definedName name="Anexo" localSheetId="12">#REF!</definedName>
    <definedName name="Anexo">#REF!</definedName>
    <definedName name="Anexo_1.4.4" localSheetId="2">#REF!</definedName>
    <definedName name="Anexo_1.4.4" localSheetId="12">#REF!</definedName>
    <definedName name="Anexo_1.4.4">#REF!</definedName>
    <definedName name="ar">#N/A</definedName>
    <definedName name="_xlnm.Print_Area" localSheetId="4">'Anexo 1. Fontes e Aplicações'!$A$1:$H$33</definedName>
    <definedName name="_xlnm.Print_Area" localSheetId="2">'Indicadores e Metas'!$A$1:$F$107</definedName>
    <definedName name="_xlnm.Print_Area" localSheetId="1">'Mapa Estratégico e ODS'!$A$1:$I$3</definedName>
    <definedName name="_xlnm.Print_Area" localSheetId="12">'Matriz de Obj. Estrat.'!$A$1:$K$19</definedName>
    <definedName name="_xlnm.Print_Area" localSheetId="3">'Quadro Geral'!$A$2:$O$25</definedName>
    <definedName name="asas" localSheetId="2">#REF!</definedName>
    <definedName name="asas" localSheetId="12">#REF!</definedName>
    <definedName name="asas">#REF!</definedName>
    <definedName name="ass" localSheetId="2">#REF!</definedName>
    <definedName name="ass" localSheetId="12">#REF!</definedName>
    <definedName name="ass">#REF!</definedName>
    <definedName name="_xlnm.Database" localSheetId="11">#REF!</definedName>
    <definedName name="_xlnm.Database" localSheetId="2">#REF!</definedName>
    <definedName name="_xlnm.Database" localSheetId="12">#REF!</definedName>
    <definedName name="_xlnm.Database" localSheetId="0">#REF!</definedName>
    <definedName name="_xlnm.Database" localSheetId="3">#REF!</definedName>
    <definedName name="_xlnm.Database">#REF!</definedName>
    <definedName name="banco_de_dados_sym" localSheetId="11">#REF!</definedName>
    <definedName name="banco_de_dados_sym" localSheetId="2">#REF!</definedName>
    <definedName name="banco_de_dados_sym" localSheetId="12">#REF!</definedName>
    <definedName name="banco_de_dados_sym">#REF!</definedName>
    <definedName name="Copia" localSheetId="2">#REF!</definedName>
    <definedName name="Copia" localSheetId="12">#REF!</definedName>
    <definedName name="Copia">#REF!</definedName>
    <definedName name="copia2" localSheetId="2">#REF!</definedName>
    <definedName name="copia2" localSheetId="12">#REF!</definedName>
    <definedName name="copia2">#REF!</definedName>
    <definedName name="_xlnm.Criteria" localSheetId="2">#REF!</definedName>
    <definedName name="_xlnm.Criteria" localSheetId="12">#REF!</definedName>
    <definedName name="_xlnm.Criteria">#REF!</definedName>
    <definedName name="dados" localSheetId="2">#REF!</definedName>
    <definedName name="dados" localSheetId="12">#REF!</definedName>
    <definedName name="dados">#REF!</definedName>
    <definedName name="Database" localSheetId="12">#REF!</definedName>
    <definedName name="Database">#REF!</definedName>
    <definedName name="DEZEMBRO" localSheetId="12">#REF!</definedName>
    <definedName name="DEZEMBRO">#REF!</definedName>
    <definedName name="huala" localSheetId="2">#REF!</definedName>
    <definedName name="huala" localSheetId="12">#REF!</definedName>
    <definedName name="huala">#REF!</definedName>
    <definedName name="kk" localSheetId="2">#REF!</definedName>
    <definedName name="kk" localSheetId="12">#REF!</definedName>
    <definedName name="kk">#REF!</definedName>
    <definedName name="Percentual5" localSheetId="11">'[1]Estudos - Receita'!$XFB$1:$XFB$20</definedName>
    <definedName name="Percentual5">'[2]Estudos - Receita'!$XFB$1:$XFB$20</definedName>
    <definedName name="PJ2anos" localSheetId="11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12">#REF!</definedName>
    <definedName name="X">#REF!</definedName>
    <definedName name="XFE1048575" localSheetId="11">#REF!</definedName>
    <definedName name="XFE1048575" localSheetId="2">#REF!</definedName>
    <definedName name="XFE1048575" localSheetId="12">#REF!</definedName>
    <definedName name="XFE1048575">#REF!</definedName>
    <definedName name="XFe1048576" localSheetId="11">#REF!</definedName>
    <definedName name="XFe1048576" localSheetId="2">#REF!</definedName>
    <definedName name="XFe1048576" localSheetId="12">#REF!</definedName>
    <definedName name="XFe1048576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8" l="1"/>
  <c r="M11" i="23"/>
  <c r="G48" i="43" l="1"/>
  <c r="G49" i="43"/>
  <c r="G50" i="43"/>
  <c r="G51" i="43"/>
  <c r="G52" i="43"/>
  <c r="G53" i="43"/>
  <c r="G54" i="43"/>
  <c r="G55" i="43"/>
  <c r="G56" i="43"/>
  <c r="F197" i="43"/>
  <c r="F68" i="43"/>
  <c r="F52" i="43"/>
  <c r="F19" i="8" l="1"/>
  <c r="H5" i="23" s="1"/>
  <c r="Y7" i="15"/>
  <c r="Q7" i="15"/>
  <c r="E17" i="8"/>
  <c r="F22" i="43"/>
  <c r="F9" i="43"/>
  <c r="E144" i="43"/>
  <c r="E143" i="43"/>
  <c r="E21" i="8"/>
  <c r="F86" i="43"/>
  <c r="E69" i="43"/>
  <c r="F69" i="43" s="1"/>
  <c r="G69" i="43" s="1"/>
  <c r="J69" i="43" s="1"/>
  <c r="E10" i="43"/>
  <c r="F10" i="43" s="1"/>
  <c r="E23" i="43"/>
  <c r="D21" i="8"/>
  <c r="F21" i="8" s="1"/>
  <c r="D17" i="8"/>
  <c r="D18" i="8"/>
  <c r="F18" i="8" s="1"/>
  <c r="G18" i="8" s="1"/>
  <c r="H18" i="8" s="1"/>
  <c r="D16" i="8"/>
  <c r="F17" i="43"/>
  <c r="F16" i="43"/>
  <c r="F12" i="43"/>
  <c r="F30" i="43"/>
  <c r="F144" i="43"/>
  <c r="F51" i="43"/>
  <c r="F11" i="43"/>
  <c r="F134" i="43"/>
  <c r="K18" i="15"/>
  <c r="E18" i="8"/>
  <c r="D40" i="43"/>
  <c r="F109" i="43"/>
  <c r="G91" i="43"/>
  <c r="J91" i="43" s="1"/>
  <c r="G39" i="43"/>
  <c r="H39" i="43" s="1"/>
  <c r="F50" i="43"/>
  <c r="H91" i="43"/>
  <c r="J39" i="43"/>
  <c r="F85" i="43"/>
  <c r="F65" i="43"/>
  <c r="F48" i="43"/>
  <c r="F19" i="43"/>
  <c r="G19" i="43" s="1"/>
  <c r="F188" i="43"/>
  <c r="F179" i="43"/>
  <c r="J21" i="15"/>
  <c r="I21" i="15"/>
  <c r="Q11" i="15"/>
  <c r="R11" i="15" s="1"/>
  <c r="Q15" i="15"/>
  <c r="R15" i="15"/>
  <c r="R7" i="15"/>
  <c r="Q21" i="15"/>
  <c r="R21" i="15" s="1"/>
  <c r="Q20" i="15"/>
  <c r="R20" i="15"/>
  <c r="Q19" i="15"/>
  <c r="R19" i="15" s="1"/>
  <c r="Q18" i="15"/>
  <c r="R18" i="15" s="1"/>
  <c r="Q17" i="15"/>
  <c r="R17" i="15" s="1"/>
  <c r="Q16" i="15"/>
  <c r="R16" i="15" s="1"/>
  <c r="Q14" i="15"/>
  <c r="R14" i="15" s="1"/>
  <c r="Q13" i="15"/>
  <c r="R13" i="15"/>
  <c r="Q12" i="15"/>
  <c r="R12" i="15" s="1"/>
  <c r="Q10" i="15"/>
  <c r="R10" i="15"/>
  <c r="Q9" i="15"/>
  <c r="R9" i="15" s="1"/>
  <c r="Q8" i="15"/>
  <c r="R8" i="15" s="1"/>
  <c r="D5" i="40"/>
  <c r="D7" i="40"/>
  <c r="G7" i="40"/>
  <c r="D8" i="40"/>
  <c r="G8" i="40"/>
  <c r="D9" i="40"/>
  <c r="J9" i="40" s="1"/>
  <c r="G9" i="40"/>
  <c r="D10" i="40"/>
  <c r="G10" i="40"/>
  <c r="D11" i="40"/>
  <c r="G11" i="40"/>
  <c r="D12" i="40"/>
  <c r="G13" i="40"/>
  <c r="G14" i="40"/>
  <c r="D17" i="40"/>
  <c r="D19" i="40"/>
  <c r="G19" i="40"/>
  <c r="D21" i="40"/>
  <c r="G21" i="40"/>
  <c r="J21" i="40" s="1"/>
  <c r="D22" i="40"/>
  <c r="D23" i="40"/>
  <c r="J23" i="40" s="1"/>
  <c r="G23" i="40"/>
  <c r="G24" i="40"/>
  <c r="G25" i="40"/>
  <c r="G27" i="40"/>
  <c r="D28" i="40"/>
  <c r="G29" i="40"/>
  <c r="G30" i="40"/>
  <c r="D4" i="40"/>
  <c r="G20" i="40"/>
  <c r="D24" i="40"/>
  <c r="D16" i="40"/>
  <c r="F17" i="39"/>
  <c r="F170" i="43"/>
  <c r="F143" i="43"/>
  <c r="G143" i="43" s="1"/>
  <c r="F66" i="43"/>
  <c r="F49" i="43"/>
  <c r="F67" i="43"/>
  <c r="G67" i="43" s="1"/>
  <c r="F87" i="43"/>
  <c r="F21" i="43"/>
  <c r="G21" i="43" s="1"/>
  <c r="F20" i="43"/>
  <c r="F53" i="43"/>
  <c r="F57" i="43" s="1"/>
  <c r="K12" i="15" s="1"/>
  <c r="F36" i="43"/>
  <c r="G36" i="43" s="1"/>
  <c r="F13" i="43"/>
  <c r="G13" i="43" s="1"/>
  <c r="F29" i="43"/>
  <c r="F26" i="43"/>
  <c r="F27" i="43"/>
  <c r="G27" i="43" s="1"/>
  <c r="G119" i="43"/>
  <c r="H119" i="43" s="1"/>
  <c r="G120" i="43"/>
  <c r="F17" i="18"/>
  <c r="G121" i="43"/>
  <c r="E40" i="43"/>
  <c r="H120" i="43"/>
  <c r="G66" i="43"/>
  <c r="H66" i="43" s="1"/>
  <c r="H67" i="43"/>
  <c r="G68" i="43"/>
  <c r="G11" i="43"/>
  <c r="H11" i="43"/>
  <c r="G12" i="43"/>
  <c r="H12" i="43" s="1"/>
  <c r="G14" i="43"/>
  <c r="H14" i="43" s="1"/>
  <c r="G15" i="43"/>
  <c r="J15" i="43"/>
  <c r="G16" i="43"/>
  <c r="M11" i="18" s="1"/>
  <c r="M21" i="18" s="1"/>
  <c r="G17" i="43"/>
  <c r="J17" i="43"/>
  <c r="G18" i="43"/>
  <c r="H18" i="43" s="1"/>
  <c r="G20" i="43"/>
  <c r="G22" i="43"/>
  <c r="H22" i="43" s="1"/>
  <c r="G23" i="43"/>
  <c r="H23" i="43" s="1"/>
  <c r="G24" i="43"/>
  <c r="H24" i="43" s="1"/>
  <c r="G25" i="43"/>
  <c r="J25" i="43" s="1"/>
  <c r="G26" i="43"/>
  <c r="H26" i="43" s="1"/>
  <c r="H27" i="43"/>
  <c r="G28" i="43"/>
  <c r="H28" i="43" s="1"/>
  <c r="G29" i="43"/>
  <c r="J29" i="43" s="1"/>
  <c r="H29" i="43"/>
  <c r="G30" i="43"/>
  <c r="J30" i="43" s="1"/>
  <c r="G31" i="43"/>
  <c r="H31" i="43" s="1"/>
  <c r="G32" i="43"/>
  <c r="G33" i="43"/>
  <c r="H33" i="43" s="1"/>
  <c r="G34" i="43"/>
  <c r="H34" i="43" s="1"/>
  <c r="G35" i="43"/>
  <c r="H35" i="43"/>
  <c r="G37" i="43"/>
  <c r="J37" i="43" s="1"/>
  <c r="O11" i="18"/>
  <c r="G38" i="43"/>
  <c r="I198" i="43"/>
  <c r="F198" i="43"/>
  <c r="K10" i="15" s="1"/>
  <c r="E198" i="43"/>
  <c r="D198" i="43"/>
  <c r="G197" i="43"/>
  <c r="J197" i="43" s="1"/>
  <c r="I189" i="43"/>
  <c r="F189" i="43"/>
  <c r="K9" i="15"/>
  <c r="L9" i="15" s="1"/>
  <c r="E189" i="43"/>
  <c r="D189" i="43"/>
  <c r="G188" i="43"/>
  <c r="J188" i="43" s="1"/>
  <c r="I180" i="43"/>
  <c r="F180" i="43"/>
  <c r="K8" i="15"/>
  <c r="E180" i="43"/>
  <c r="D180" i="43"/>
  <c r="G179" i="43"/>
  <c r="G180" i="43" s="1"/>
  <c r="J179" i="43"/>
  <c r="I171" i="43"/>
  <c r="E171" i="43"/>
  <c r="D171" i="43"/>
  <c r="I162" i="43"/>
  <c r="F162" i="43"/>
  <c r="K20" i="15" s="1"/>
  <c r="E162" i="43"/>
  <c r="D162" i="43"/>
  <c r="G161" i="43"/>
  <c r="J161" i="43" s="1"/>
  <c r="G160" i="43"/>
  <c r="J160" i="43"/>
  <c r="G159" i="43"/>
  <c r="H159" i="43" s="1"/>
  <c r="G158" i="43"/>
  <c r="H158" i="43" s="1"/>
  <c r="G157" i="43"/>
  <c r="H157" i="43" s="1"/>
  <c r="I149" i="43"/>
  <c r="E149" i="43"/>
  <c r="D149" i="43"/>
  <c r="G148" i="43"/>
  <c r="J148" i="43" s="1"/>
  <c r="G147" i="43"/>
  <c r="J147" i="43" s="1"/>
  <c r="H147" i="43"/>
  <c r="G146" i="43"/>
  <c r="H146" i="43" s="1"/>
  <c r="G145" i="43"/>
  <c r="J145" i="43" s="1"/>
  <c r="G144" i="43"/>
  <c r="G142" i="43"/>
  <c r="I134" i="43"/>
  <c r="E134" i="43"/>
  <c r="D134" i="43"/>
  <c r="G133" i="43"/>
  <c r="H133" i="43" s="1"/>
  <c r="J133" i="43"/>
  <c r="G132" i="43"/>
  <c r="J132" i="43" s="1"/>
  <c r="G131" i="43"/>
  <c r="I18" i="18" s="1"/>
  <c r="G130" i="43"/>
  <c r="I122" i="43"/>
  <c r="F122" i="43"/>
  <c r="K17" i="15" s="1"/>
  <c r="E122" i="43"/>
  <c r="D122" i="43"/>
  <c r="J119" i="43"/>
  <c r="G118" i="43"/>
  <c r="H17" i="18" s="1"/>
  <c r="I110" i="43"/>
  <c r="F110" i="43"/>
  <c r="K16" i="15" s="1"/>
  <c r="E110" i="43"/>
  <c r="D110" i="43"/>
  <c r="G109" i="43"/>
  <c r="J109" i="43" s="1"/>
  <c r="I101" i="43"/>
  <c r="F101" i="43"/>
  <c r="K15" i="15" s="1"/>
  <c r="E101" i="43"/>
  <c r="D101" i="43"/>
  <c r="G100" i="43"/>
  <c r="G101" i="43" s="1"/>
  <c r="H101" i="43" s="1"/>
  <c r="I92" i="43"/>
  <c r="E92" i="43"/>
  <c r="D92" i="43"/>
  <c r="G90" i="43"/>
  <c r="J90" i="43" s="1"/>
  <c r="O14" i="18"/>
  <c r="G89" i="43"/>
  <c r="G88" i="43"/>
  <c r="J88" i="43" s="1"/>
  <c r="G86" i="43"/>
  <c r="H86" i="43" s="1"/>
  <c r="G85" i="43"/>
  <c r="H85" i="43" s="1"/>
  <c r="I77" i="43"/>
  <c r="F77" i="43"/>
  <c r="K13" i="15" s="1"/>
  <c r="L13" i="15" s="1"/>
  <c r="E77" i="43"/>
  <c r="D77" i="43"/>
  <c r="G76" i="43"/>
  <c r="J76" i="43" s="1"/>
  <c r="G75" i="43"/>
  <c r="J75" i="43" s="1"/>
  <c r="G74" i="43"/>
  <c r="H74" i="43" s="1"/>
  <c r="G73" i="43"/>
  <c r="J73" i="43" s="1"/>
  <c r="G72" i="43"/>
  <c r="J72" i="43" s="1"/>
  <c r="G71" i="43"/>
  <c r="J71" i="43" s="1"/>
  <c r="G70" i="43"/>
  <c r="F13" i="18" s="1"/>
  <c r="G65" i="43"/>
  <c r="I57" i="43"/>
  <c r="E57" i="43"/>
  <c r="D57" i="43"/>
  <c r="J56" i="43"/>
  <c r="H54" i="43"/>
  <c r="J53" i="43"/>
  <c r="J52" i="43"/>
  <c r="J51" i="43"/>
  <c r="H50" i="43"/>
  <c r="J49" i="43"/>
  <c r="H48" i="43"/>
  <c r="I13" i="18"/>
  <c r="F18" i="18"/>
  <c r="J142" i="43"/>
  <c r="J89" i="43"/>
  <c r="I14" i="18"/>
  <c r="H19" i="18"/>
  <c r="I20" i="18"/>
  <c r="M11" i="15"/>
  <c r="O12" i="18"/>
  <c r="M12" i="15" s="1"/>
  <c r="M21" i="15" s="1"/>
  <c r="M22" i="15" s="1"/>
  <c r="H70" i="43"/>
  <c r="M14" i="15"/>
  <c r="J130" i="43"/>
  <c r="H18" i="18"/>
  <c r="J144" i="43"/>
  <c r="H20" i="43"/>
  <c r="H16" i="43"/>
  <c r="J68" i="43"/>
  <c r="H118" i="43"/>
  <c r="H131" i="43"/>
  <c r="G11" i="18"/>
  <c r="G21" i="18" s="1"/>
  <c r="E12" i="18"/>
  <c r="J20" i="18"/>
  <c r="H15" i="43"/>
  <c r="H68" i="43"/>
  <c r="J67" i="43"/>
  <c r="J35" i="43"/>
  <c r="J23" i="43"/>
  <c r="J33" i="43"/>
  <c r="J20" i="43"/>
  <c r="H69" i="43"/>
  <c r="J16" i="43"/>
  <c r="J12" i="43"/>
  <c r="J27" i="43"/>
  <c r="J11" i="43"/>
  <c r="H17" i="43"/>
  <c r="J34" i="43"/>
  <c r="J31" i="43"/>
  <c r="J26" i="43"/>
  <c r="J22" i="43"/>
  <c r="J14" i="43"/>
  <c r="H142" i="43"/>
  <c r="J157" i="43"/>
  <c r="H188" i="43"/>
  <c r="G189" i="43"/>
  <c r="H179" i="43"/>
  <c r="H160" i="43"/>
  <c r="H161" i="43"/>
  <c r="H71" i="43"/>
  <c r="H89" i="43"/>
  <c r="H100" i="43"/>
  <c r="J54" i="43"/>
  <c r="H75" i="43"/>
  <c r="H130" i="43"/>
  <c r="H132" i="43"/>
  <c r="G134" i="43"/>
  <c r="H134" i="43" s="1"/>
  <c r="J118" i="43"/>
  <c r="H73" i="43"/>
  <c r="H52" i="43"/>
  <c r="K9" i="18"/>
  <c r="N9" i="18" s="1"/>
  <c r="P9" i="18" s="1"/>
  <c r="J189" i="43"/>
  <c r="I40" i="43"/>
  <c r="G9" i="43"/>
  <c r="H9" i="43" s="1"/>
  <c r="J9" i="43"/>
  <c r="E16" i="8"/>
  <c r="F16" i="8" s="1"/>
  <c r="G16" i="8" s="1"/>
  <c r="H16" i="8" s="1"/>
  <c r="E15" i="8"/>
  <c r="E13" i="8"/>
  <c r="E14" i="8"/>
  <c r="E11" i="8"/>
  <c r="F11" i="8" s="1"/>
  <c r="E10" i="8"/>
  <c r="D23" i="23"/>
  <c r="G15" i="39"/>
  <c r="G16" i="39"/>
  <c r="G17" i="39"/>
  <c r="L7" i="23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6" i="8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7" i="15"/>
  <c r="G41" i="39"/>
  <c r="G43" i="39"/>
  <c r="G44" i="39"/>
  <c r="G45" i="39"/>
  <c r="G46" i="39"/>
  <c r="G47" i="39"/>
  <c r="G48" i="39"/>
  <c r="G49" i="39"/>
  <c r="G50" i="39"/>
  <c r="G52" i="39"/>
  <c r="G54" i="39"/>
  <c r="G55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1" i="39"/>
  <c r="G73" i="39"/>
  <c r="G74" i="39"/>
  <c r="G75" i="39"/>
  <c r="G76" i="39"/>
  <c r="G78" i="39"/>
  <c r="G80" i="39"/>
  <c r="G82" i="39"/>
  <c r="G84" i="39"/>
  <c r="G86" i="39"/>
  <c r="G88" i="39"/>
  <c r="G89" i="39"/>
  <c r="G90" i="39"/>
  <c r="G91" i="39"/>
  <c r="G92" i="39"/>
  <c r="G93" i="39"/>
  <c r="G94" i="39"/>
  <c r="G96" i="39"/>
  <c r="G98" i="39"/>
  <c r="G99" i="39"/>
  <c r="G100" i="39"/>
  <c r="G101" i="39"/>
  <c r="G103" i="39"/>
  <c r="G105" i="39"/>
  <c r="G19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13" i="39"/>
  <c r="F22" i="8"/>
  <c r="G22" i="8" s="1"/>
  <c r="H22" i="8" s="1"/>
  <c r="F17" i="8"/>
  <c r="F15" i="8"/>
  <c r="F14" i="8"/>
  <c r="F13" i="8"/>
  <c r="F10" i="8"/>
  <c r="D31" i="8"/>
  <c r="E30" i="8"/>
  <c r="D30" i="8"/>
  <c r="D29" i="8"/>
  <c r="E27" i="8"/>
  <c r="F27" i="8" s="1"/>
  <c r="G27" i="8" s="1"/>
  <c r="H27" i="8" s="1"/>
  <c r="D27" i="8"/>
  <c r="D26" i="8"/>
  <c r="E20" i="8"/>
  <c r="D20" i="8"/>
  <c r="E12" i="8"/>
  <c r="E8" i="8" s="1"/>
  <c r="E7" i="8" s="1"/>
  <c r="E6" i="8" s="1"/>
  <c r="E23" i="8" s="1"/>
  <c r="D12" i="8"/>
  <c r="E9" i="8"/>
  <c r="D9" i="8"/>
  <c r="L8" i="15"/>
  <c r="L12" i="15"/>
  <c r="N12" i="15" s="1"/>
  <c r="O12" i="15" s="1"/>
  <c r="L16" i="15"/>
  <c r="L17" i="15"/>
  <c r="L18" i="15"/>
  <c r="L20" i="15"/>
  <c r="H21" i="23"/>
  <c r="G10" i="8"/>
  <c r="H10" i="8" s="1"/>
  <c r="G15" i="8"/>
  <c r="H15" i="8" s="1"/>
  <c r="G14" i="8"/>
  <c r="H14" i="8" s="1"/>
  <c r="G21" i="8"/>
  <c r="H21" i="8" s="1"/>
  <c r="G13" i="8"/>
  <c r="H13" i="8" s="1"/>
  <c r="G17" i="8"/>
  <c r="H17" i="8" s="1"/>
  <c r="F20" i="8"/>
  <c r="C43" i="8" s="1"/>
  <c r="D8" i="8"/>
  <c r="D7" i="8" s="1"/>
  <c r="D6" i="8" s="1"/>
  <c r="D23" i="8" s="1"/>
  <c r="D28" i="8"/>
  <c r="F30" i="8"/>
  <c r="G30" i="8" s="1"/>
  <c r="H30" i="8" s="1"/>
  <c r="F12" i="8"/>
  <c r="G12" i="8" s="1"/>
  <c r="H12" i="8" s="1"/>
  <c r="E40" i="8"/>
  <c r="A119" i="39"/>
  <c r="A118" i="39"/>
  <c r="A117" i="39"/>
  <c r="A116" i="39"/>
  <c r="A115" i="39"/>
  <c r="A114" i="39"/>
  <c r="A113" i="39"/>
  <c r="A112" i="39"/>
  <c r="F73" i="42"/>
  <c r="D74" i="42"/>
  <c r="E53" i="42"/>
  <c r="E14" i="42"/>
  <c r="E68" i="42"/>
  <c r="F40" i="42"/>
  <c r="F13" i="42"/>
  <c r="F37" i="42"/>
  <c r="E107" i="42"/>
  <c r="E74" i="42"/>
  <c r="D145" i="42"/>
  <c r="F11" i="42"/>
  <c r="F14" i="42"/>
  <c r="F16" i="42"/>
  <c r="F17" i="42"/>
  <c r="F18" i="42"/>
  <c r="F20" i="42"/>
  <c r="F21" i="42"/>
  <c r="F23" i="42"/>
  <c r="F32" i="42"/>
  <c r="F34" i="42"/>
  <c r="F36" i="42"/>
  <c r="F39" i="42"/>
  <c r="F49" i="42"/>
  <c r="F53" i="42"/>
  <c r="D41" i="42"/>
  <c r="F41" i="42" s="1"/>
  <c r="F141" i="42"/>
  <c r="D196" i="42"/>
  <c r="F196" i="42" s="1"/>
  <c r="E196" i="42"/>
  <c r="D187" i="42"/>
  <c r="D178" i="42"/>
  <c r="D160" i="42"/>
  <c r="F159" i="42"/>
  <c r="F158" i="42"/>
  <c r="F157" i="42"/>
  <c r="F156" i="42"/>
  <c r="F155" i="42"/>
  <c r="F154" i="42"/>
  <c r="F153" i="42"/>
  <c r="F144" i="42"/>
  <c r="F143" i="42"/>
  <c r="F142" i="42"/>
  <c r="F139" i="42"/>
  <c r="D130" i="42"/>
  <c r="F129" i="42"/>
  <c r="F128" i="42"/>
  <c r="F127" i="42"/>
  <c r="D118" i="42"/>
  <c r="F117" i="42"/>
  <c r="D108" i="42"/>
  <c r="F108" i="42" s="1"/>
  <c r="D99" i="42"/>
  <c r="F98" i="42"/>
  <c r="D90" i="42"/>
  <c r="F89" i="42"/>
  <c r="F88" i="42"/>
  <c r="F87" i="42"/>
  <c r="F86" i="42"/>
  <c r="F85" i="42"/>
  <c r="F83" i="42"/>
  <c r="F72" i="42"/>
  <c r="F71" i="42"/>
  <c r="F70" i="42"/>
  <c r="F69" i="42"/>
  <c r="F67" i="42"/>
  <c r="F65" i="42"/>
  <c r="F64" i="42"/>
  <c r="F55" i="42"/>
  <c r="F54" i="42"/>
  <c r="D56" i="42"/>
  <c r="F50" i="42"/>
  <c r="F35" i="42"/>
  <c r="F31" i="42"/>
  <c r="F30" i="42"/>
  <c r="F24" i="42"/>
  <c r="F19" i="42"/>
  <c r="F15" i="42"/>
  <c r="F12" i="42"/>
  <c r="F10" i="42"/>
  <c r="E41" i="42"/>
  <c r="E118" i="42"/>
  <c r="F22" i="42"/>
  <c r="F84" i="42"/>
  <c r="E99" i="42"/>
  <c r="F8" i="42"/>
  <c r="F52" i="42"/>
  <c r="E160" i="42"/>
  <c r="F160" i="42" s="1"/>
  <c r="F28" i="42"/>
  <c r="F26" i="42"/>
  <c r="F138" i="42"/>
  <c r="F25" i="42"/>
  <c r="F27" i="42"/>
  <c r="F29" i="42"/>
  <c r="F33" i="42"/>
  <c r="F38" i="42"/>
  <c r="F51" i="42"/>
  <c r="F82" i="42"/>
  <c r="F126" i="42"/>
  <c r="F195" i="42"/>
  <c r="F116" i="42"/>
  <c r="E130" i="42"/>
  <c r="F140" i="42"/>
  <c r="F118" i="42"/>
  <c r="F68" i="42"/>
  <c r="F9" i="42"/>
  <c r="E90" i="42"/>
  <c r="F90" i="42" s="1"/>
  <c r="E108" i="42"/>
  <c r="F107" i="42"/>
  <c r="E145" i="42"/>
  <c r="F145" i="42" s="1"/>
  <c r="F130" i="42"/>
  <c r="F66" i="42"/>
  <c r="F168" i="42"/>
  <c r="E169" i="42"/>
  <c r="F169" i="42" s="1"/>
  <c r="E56" i="42"/>
  <c r="F56" i="42" s="1"/>
  <c r="T8" i="18"/>
  <c r="U8" i="18"/>
  <c r="T9" i="18"/>
  <c r="U9" i="18"/>
  <c r="T10" i="18"/>
  <c r="U10" i="18"/>
  <c r="T11" i="18"/>
  <c r="U11" i="18"/>
  <c r="T12" i="18"/>
  <c r="U12" i="18"/>
  <c r="T13" i="18"/>
  <c r="U13" i="18"/>
  <c r="T14" i="18"/>
  <c r="U14" i="18"/>
  <c r="T15" i="18"/>
  <c r="U15" i="18"/>
  <c r="T16" i="18"/>
  <c r="U16" i="18"/>
  <c r="T17" i="18"/>
  <c r="U17" i="18"/>
  <c r="T18" i="18"/>
  <c r="U18" i="18"/>
  <c r="T19" i="18"/>
  <c r="U19" i="18"/>
  <c r="T20" i="18"/>
  <c r="U20" i="18"/>
  <c r="U7" i="18"/>
  <c r="T7" i="18"/>
  <c r="P13" i="23"/>
  <c r="AK2" i="40"/>
  <c r="AN8" i="40" s="1"/>
  <c r="C32" i="40"/>
  <c r="D32" i="40"/>
  <c r="E32" i="40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H4" i="41"/>
  <c r="C5" i="41"/>
  <c r="D5" i="41"/>
  <c r="E5" i="41"/>
  <c r="F5" i="41"/>
  <c r="G5" i="41"/>
  <c r="C6" i="41"/>
  <c r="D6" i="41"/>
  <c r="E6" i="41"/>
  <c r="F6" i="41"/>
  <c r="G6" i="41"/>
  <c r="C7" i="41"/>
  <c r="E7" i="41"/>
  <c r="F7" i="41"/>
  <c r="G7" i="41"/>
  <c r="H7" i="41"/>
  <c r="C8" i="41"/>
  <c r="D8" i="41"/>
  <c r="E8" i="41"/>
  <c r="F8" i="41"/>
  <c r="G8" i="41"/>
  <c r="I8" i="41" s="1"/>
  <c r="H8" i="41"/>
  <c r="C9" i="41"/>
  <c r="I9" i="41" s="1"/>
  <c r="D9" i="41"/>
  <c r="E9" i="41"/>
  <c r="F9" i="41"/>
  <c r="J9" i="41" s="1"/>
  <c r="G9" i="41"/>
  <c r="H9" i="41"/>
  <c r="C10" i="41"/>
  <c r="D10" i="41"/>
  <c r="E10" i="41"/>
  <c r="F10" i="41"/>
  <c r="G10" i="41"/>
  <c r="C11" i="41"/>
  <c r="D11" i="41"/>
  <c r="E11" i="41"/>
  <c r="F11" i="41"/>
  <c r="G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G19" i="41" s="1"/>
  <c r="H3" i="41"/>
  <c r="G3" i="41"/>
  <c r="F3" i="41"/>
  <c r="E3" i="41"/>
  <c r="D3" i="41"/>
  <c r="C3" i="41"/>
  <c r="I3" i="41" s="1"/>
  <c r="AK27" i="40"/>
  <c r="H71" i="39"/>
  <c r="I4" i="41"/>
  <c r="I12" i="41"/>
  <c r="I5" i="41"/>
  <c r="I14" i="41"/>
  <c r="I6" i="41"/>
  <c r="AK21" i="40"/>
  <c r="H84" i="39"/>
  <c r="AK20" i="40"/>
  <c r="AK22" i="40"/>
  <c r="AN3" i="40"/>
  <c r="AN4" i="40"/>
  <c r="Y8" i="15" s="1"/>
  <c r="H5" i="41"/>
  <c r="AN9" i="40"/>
  <c r="C48" i="8" s="1"/>
  <c r="AN7" i="40"/>
  <c r="AK16" i="40"/>
  <c r="K19" i="8" s="1"/>
  <c r="AN5" i="40"/>
  <c r="AK15" i="40"/>
  <c r="K18" i="8"/>
  <c r="AK19" i="40"/>
  <c r="N8" i="15"/>
  <c r="O8" i="15" s="1"/>
  <c r="H6" i="41"/>
  <c r="G4" i="40"/>
  <c r="AK7" i="40"/>
  <c r="K10" i="8" s="1"/>
  <c r="L10" i="8" s="1"/>
  <c r="AK12" i="40"/>
  <c r="K15" i="8" s="1"/>
  <c r="L15" i="8" s="1"/>
  <c r="AK11" i="40"/>
  <c r="K14" i="8" s="1"/>
  <c r="L14" i="8" s="1"/>
  <c r="AK8" i="40"/>
  <c r="K11" i="8" s="1"/>
  <c r="J11" i="40"/>
  <c r="J19" i="40"/>
  <c r="G23" i="18"/>
  <c r="B53" i="8"/>
  <c r="I22" i="15"/>
  <c r="C34" i="8"/>
  <c r="A8" i="18"/>
  <c r="B8" i="18"/>
  <c r="C8" i="18"/>
  <c r="A9" i="18"/>
  <c r="B9" i="18"/>
  <c r="C9" i="18"/>
  <c r="A10" i="18"/>
  <c r="B10" i="18"/>
  <c r="A11" i="18"/>
  <c r="B11" i="18"/>
  <c r="A12" i="18"/>
  <c r="B12" i="18"/>
  <c r="C12" i="18"/>
  <c r="A13" i="18"/>
  <c r="B13" i="18"/>
  <c r="C13" i="18"/>
  <c r="A14" i="18"/>
  <c r="B14" i="18"/>
  <c r="A15" i="18"/>
  <c r="B15" i="18"/>
  <c r="A16" i="18"/>
  <c r="B16" i="18"/>
  <c r="C16" i="18"/>
  <c r="A17" i="18"/>
  <c r="B17" i="18"/>
  <c r="C17" i="18"/>
  <c r="A18" i="18"/>
  <c r="B18" i="18"/>
  <c r="C18" i="18"/>
  <c r="A19" i="18"/>
  <c r="B19" i="18"/>
  <c r="A20" i="18"/>
  <c r="B20" i="18"/>
  <c r="C20" i="18"/>
  <c r="B7" i="18"/>
  <c r="A7" i="18"/>
  <c r="D7" i="23"/>
  <c r="D5" i="23"/>
  <c r="C39" i="8"/>
  <c r="D39" i="8" s="1"/>
  <c r="N9" i="15"/>
  <c r="O9" i="15" s="1"/>
  <c r="N20" i="15"/>
  <c r="O20" i="15" s="1"/>
  <c r="N13" i="15"/>
  <c r="O13" i="15" s="1"/>
  <c r="N18" i="15"/>
  <c r="O18" i="15" s="1"/>
  <c r="N17" i="15"/>
  <c r="O17" i="15" s="1"/>
  <c r="N16" i="15"/>
  <c r="O16" i="15"/>
  <c r="R9" i="18"/>
  <c r="B39" i="8"/>
  <c r="D4" i="23"/>
  <c r="D6" i="23" s="1"/>
  <c r="B38" i="8"/>
  <c r="B40" i="8" s="1"/>
  <c r="B41" i="8" s="1"/>
  <c r="J70" i="43" l="1"/>
  <c r="G77" i="43"/>
  <c r="E5" i="23"/>
  <c r="G19" i="8"/>
  <c r="H19" i="8" s="1"/>
  <c r="L19" i="8"/>
  <c r="J12" i="41"/>
  <c r="J8" i="41"/>
  <c r="G198" i="43"/>
  <c r="L10" i="18" s="1"/>
  <c r="J3" i="41"/>
  <c r="J17" i="41"/>
  <c r="J15" i="41"/>
  <c r="J5" i="41"/>
  <c r="H11" i="23" s="1"/>
  <c r="J4" i="41"/>
  <c r="J6" i="41"/>
  <c r="J13" i="41"/>
  <c r="F19" i="41"/>
  <c r="J16" i="41"/>
  <c r="H77" i="43"/>
  <c r="J77" i="43"/>
  <c r="H19" i="43"/>
  <c r="J19" i="43"/>
  <c r="E11" i="18"/>
  <c r="E26" i="8"/>
  <c r="F26" i="8" s="1"/>
  <c r="G26" i="8" s="1"/>
  <c r="H26" i="8" s="1"/>
  <c r="L15" i="15"/>
  <c r="H13" i="43"/>
  <c r="J13" i="43"/>
  <c r="H21" i="43"/>
  <c r="J21" i="43"/>
  <c r="L11" i="8"/>
  <c r="F9" i="8"/>
  <c r="G11" i="8"/>
  <c r="H11" i="8" s="1"/>
  <c r="N18" i="18"/>
  <c r="P18" i="18" s="1"/>
  <c r="R18" i="18" s="1"/>
  <c r="H36" i="43"/>
  <c r="J36" i="43"/>
  <c r="E177" i="42"/>
  <c r="F177" i="42" s="1"/>
  <c r="H198" i="43"/>
  <c r="H51" i="43"/>
  <c r="J131" i="43"/>
  <c r="J86" i="43"/>
  <c r="H90" i="43"/>
  <c r="J66" i="43"/>
  <c r="H197" i="43"/>
  <c r="H25" i="43"/>
  <c r="J85" i="43"/>
  <c r="J15" i="18"/>
  <c r="N15" i="18" s="1"/>
  <c r="P15" i="18" s="1"/>
  <c r="G162" i="43"/>
  <c r="AK23" i="40"/>
  <c r="H86" i="39" s="1"/>
  <c r="I18" i="41"/>
  <c r="F99" i="42"/>
  <c r="H56" i="43"/>
  <c r="H49" i="43"/>
  <c r="J100" i="43"/>
  <c r="AK13" i="40"/>
  <c r="K16" i="8" s="1"/>
  <c r="L16" i="8" s="1"/>
  <c r="J7" i="40"/>
  <c r="I11" i="41"/>
  <c r="I19" i="41" s="1"/>
  <c r="I10" i="41"/>
  <c r="D198" i="42"/>
  <c r="F74" i="42"/>
  <c r="J198" i="43"/>
  <c r="H109" i="43"/>
  <c r="H145" i="43"/>
  <c r="J158" i="43"/>
  <c r="J18" i="43"/>
  <c r="J13" i="18"/>
  <c r="F14" i="18"/>
  <c r="F149" i="43"/>
  <c r="K19" i="15" s="1"/>
  <c r="L19" i="15" s="1"/>
  <c r="D203" i="43"/>
  <c r="H180" i="43"/>
  <c r="AK10" i="40"/>
  <c r="AK9" i="40" s="1"/>
  <c r="I15" i="41"/>
  <c r="J134" i="43"/>
  <c r="E203" i="43"/>
  <c r="J24" i="40"/>
  <c r="G20" i="8"/>
  <c r="H20" i="8" s="1"/>
  <c r="J10" i="40"/>
  <c r="K13" i="8"/>
  <c r="L13" i="8" s="1"/>
  <c r="J8" i="40"/>
  <c r="G22" i="40"/>
  <c r="J22" i="40" s="1"/>
  <c r="D6" i="40"/>
  <c r="G5" i="40"/>
  <c r="J5" i="40" s="1"/>
  <c r="D29" i="40"/>
  <c r="J29" i="40" s="1"/>
  <c r="G28" i="40"/>
  <c r="J28" i="40" s="1"/>
  <c r="G26" i="40"/>
  <c r="D18" i="40"/>
  <c r="G17" i="40"/>
  <c r="J17" i="40" s="1"/>
  <c r="G15" i="40"/>
  <c r="J15" i="40" s="1"/>
  <c r="D14" i="40"/>
  <c r="J14" i="40" s="1"/>
  <c r="D13" i="40"/>
  <c r="J13" i="40" s="1"/>
  <c r="G12" i="40"/>
  <c r="J12" i="40" s="1"/>
  <c r="J4" i="40"/>
  <c r="D15" i="40"/>
  <c r="Y9" i="15"/>
  <c r="E186" i="42"/>
  <c r="H13" i="23"/>
  <c r="I16" i="41"/>
  <c r="I7" i="41"/>
  <c r="K12" i="8"/>
  <c r="L12" i="8" s="1"/>
  <c r="E19" i="41"/>
  <c r="I13" i="41"/>
  <c r="I17" i="41"/>
  <c r="C19" i="41"/>
  <c r="E31" i="8"/>
  <c r="F31" i="8" s="1"/>
  <c r="L10" i="15"/>
  <c r="K9" i="8"/>
  <c r="D8" i="23"/>
  <c r="F5" i="23"/>
  <c r="AK6" i="40"/>
  <c r="D25" i="8"/>
  <c r="D32" i="8" s="1"/>
  <c r="J65" i="43"/>
  <c r="H65" i="43"/>
  <c r="H88" i="43"/>
  <c r="H53" i="43"/>
  <c r="H189" i="43"/>
  <c r="E11" i="23"/>
  <c r="J48" i="43"/>
  <c r="H38" i="43"/>
  <c r="J38" i="43"/>
  <c r="D25" i="40"/>
  <c r="J25" i="40" s="1"/>
  <c r="G18" i="40"/>
  <c r="G16" i="40"/>
  <c r="J16" i="40" s="1"/>
  <c r="J162" i="43"/>
  <c r="G57" i="43"/>
  <c r="J50" i="43"/>
  <c r="H148" i="43"/>
  <c r="J28" i="43"/>
  <c r="E13" i="18"/>
  <c r="J12" i="18"/>
  <c r="N12" i="18" s="1"/>
  <c r="P12" i="18" s="1"/>
  <c r="H20" i="18"/>
  <c r="N20" i="18" s="1"/>
  <c r="P20" i="18" s="1"/>
  <c r="H72" i="43"/>
  <c r="J55" i="43"/>
  <c r="H55" i="43"/>
  <c r="J74" i="43"/>
  <c r="H76" i="43"/>
  <c r="J16" i="18"/>
  <c r="N16" i="18" s="1"/>
  <c r="P16" i="18" s="1"/>
  <c r="G110" i="43"/>
  <c r="I19" i="18"/>
  <c r="H144" i="43"/>
  <c r="O21" i="18"/>
  <c r="H32" i="43"/>
  <c r="J32" i="43"/>
  <c r="I17" i="18"/>
  <c r="N17" i="18" s="1"/>
  <c r="P17" i="18" s="1"/>
  <c r="G122" i="43"/>
  <c r="H122" i="43" s="1"/>
  <c r="H121" i="43"/>
  <c r="F92" i="43"/>
  <c r="K14" i="15" s="1"/>
  <c r="L14" i="15" s="1"/>
  <c r="G87" i="43"/>
  <c r="H143" i="43"/>
  <c r="J143" i="43"/>
  <c r="D26" i="40"/>
  <c r="D20" i="40"/>
  <c r="J20" i="40" s="1"/>
  <c r="G6" i="40"/>
  <c r="J6" i="40" s="1"/>
  <c r="F40" i="43"/>
  <c r="K11" i="15" s="1"/>
  <c r="L11" i="15" s="1"/>
  <c r="G10" i="43"/>
  <c r="J180" i="43"/>
  <c r="K8" i="18"/>
  <c r="N8" i="18" s="1"/>
  <c r="P8" i="18" s="1"/>
  <c r="J146" i="43"/>
  <c r="H30" i="43"/>
  <c r="J24" i="43"/>
  <c r="M5" i="23"/>
  <c r="J19" i="18"/>
  <c r="G149" i="43"/>
  <c r="H149" i="43" s="1"/>
  <c r="E17" i="23"/>
  <c r="J101" i="43"/>
  <c r="J159" i="43"/>
  <c r="F171" i="43"/>
  <c r="G170" i="43"/>
  <c r="D30" i="40"/>
  <c r="J30" i="40" s="1"/>
  <c r="D27" i="40"/>
  <c r="J27" i="40" s="1"/>
  <c r="H37" i="43"/>
  <c r="F21" i="18" l="1"/>
  <c r="L21" i="18"/>
  <c r="N10" i="18"/>
  <c r="P10" i="18" s="1"/>
  <c r="C19" i="18"/>
  <c r="N19" i="15"/>
  <c r="O19" i="15" s="1"/>
  <c r="H10" i="41"/>
  <c r="J10" i="41" s="1"/>
  <c r="H17" i="23"/>
  <c r="C15" i="18"/>
  <c r="R15" i="18" s="1"/>
  <c r="N15" i="15"/>
  <c r="O15" i="15" s="1"/>
  <c r="D7" i="41"/>
  <c r="AK5" i="40"/>
  <c r="AK4" i="40" s="1"/>
  <c r="AK3" i="40" s="1"/>
  <c r="J18" i="40"/>
  <c r="E178" i="42"/>
  <c r="F178" i="42" s="1"/>
  <c r="E21" i="23"/>
  <c r="F21" i="23" s="1"/>
  <c r="H162" i="43"/>
  <c r="F8" i="8"/>
  <c r="G9" i="8"/>
  <c r="H9" i="8" s="1"/>
  <c r="J26" i="40"/>
  <c r="R17" i="18"/>
  <c r="K7" i="15"/>
  <c r="F203" i="43"/>
  <c r="H10" i="43"/>
  <c r="J10" i="43"/>
  <c r="J11" i="18"/>
  <c r="G40" i="43"/>
  <c r="H11" i="41"/>
  <c r="N14" i="15"/>
  <c r="O14" i="15" s="1"/>
  <c r="C14" i="18"/>
  <c r="N13" i="18"/>
  <c r="P13" i="18" s="1"/>
  <c r="J57" i="43"/>
  <c r="H57" i="43"/>
  <c r="E13" i="23"/>
  <c r="H23" i="23"/>
  <c r="C10" i="18"/>
  <c r="R10" i="18" s="1"/>
  <c r="N10" i="15"/>
  <c r="O10" i="15" s="1"/>
  <c r="C11" i="18"/>
  <c r="H18" i="41"/>
  <c r="J18" i="41" s="1"/>
  <c r="N11" i="15"/>
  <c r="O11" i="15" s="1"/>
  <c r="N19" i="18"/>
  <c r="P19" i="18" s="1"/>
  <c r="E23" i="23"/>
  <c r="G31" i="8"/>
  <c r="H31" i="8" s="1"/>
  <c r="J149" i="43"/>
  <c r="P5" i="23"/>
  <c r="N5" i="23"/>
  <c r="R8" i="18"/>
  <c r="B49" i="8"/>
  <c r="O23" i="18"/>
  <c r="C44" i="8"/>
  <c r="C45" i="8" s="1"/>
  <c r="F39" i="8"/>
  <c r="G39" i="8" s="1"/>
  <c r="H110" i="43"/>
  <c r="M13" i="23"/>
  <c r="J110" i="43"/>
  <c r="E19" i="23"/>
  <c r="R20" i="18"/>
  <c r="D34" i="8"/>
  <c r="J22" i="15"/>
  <c r="D33" i="8"/>
  <c r="J122" i="43"/>
  <c r="F186" i="42"/>
  <c r="E187" i="42"/>
  <c r="J170" i="43"/>
  <c r="G171" i="43"/>
  <c r="H170" i="43"/>
  <c r="F17" i="23"/>
  <c r="J87" i="43"/>
  <c r="E14" i="18"/>
  <c r="N14" i="18" s="1"/>
  <c r="P14" i="18" s="1"/>
  <c r="G92" i="43"/>
  <c r="H87" i="43"/>
  <c r="I21" i="18"/>
  <c r="R16" i="18"/>
  <c r="R12" i="18"/>
  <c r="F11" i="23"/>
  <c r="H21" i="18"/>
  <c r="K8" i="8"/>
  <c r="L9" i="8"/>
  <c r="J7" i="41" l="1"/>
  <c r="D19" i="41"/>
  <c r="F7" i="8"/>
  <c r="G8" i="8"/>
  <c r="H8" i="8" s="1"/>
  <c r="E21" i="18"/>
  <c r="J11" i="41"/>
  <c r="H19" i="23"/>
  <c r="K7" i="8"/>
  <c r="L8" i="8"/>
  <c r="H171" i="43"/>
  <c r="K7" i="18"/>
  <c r="J171" i="43"/>
  <c r="G203" i="43"/>
  <c r="N13" i="23"/>
  <c r="F13" i="23"/>
  <c r="R13" i="18"/>
  <c r="J40" i="43"/>
  <c r="H40" i="43"/>
  <c r="F23" i="23"/>
  <c r="R19" i="18"/>
  <c r="R14" i="18"/>
  <c r="J21" i="18"/>
  <c r="N11" i="18"/>
  <c r="P11" i="18" s="1"/>
  <c r="R11" i="18" s="1"/>
  <c r="K21" i="15"/>
  <c r="E29" i="8"/>
  <c r="L7" i="15"/>
  <c r="H92" i="43"/>
  <c r="E15" i="23"/>
  <c r="J92" i="43"/>
  <c r="F187" i="42"/>
  <c r="E198" i="42"/>
  <c r="F19" i="23"/>
  <c r="B51" i="8"/>
  <c r="B52" i="8"/>
  <c r="G7" i="8" l="1"/>
  <c r="H7" i="8" s="1"/>
  <c r="E4" i="23"/>
  <c r="H4" i="23"/>
  <c r="H6" i="23" s="1"/>
  <c r="F6" i="8"/>
  <c r="L21" i="15"/>
  <c r="H14" i="41"/>
  <c r="N7" i="15"/>
  <c r="C7" i="18"/>
  <c r="H15" i="23"/>
  <c r="E28" i="8"/>
  <c r="F29" i="8"/>
  <c r="K21" i="18"/>
  <c r="N7" i="18"/>
  <c r="L7" i="8"/>
  <c r="K6" i="8"/>
  <c r="F15" i="23"/>
  <c r="M4" i="23"/>
  <c r="P4" i="23"/>
  <c r="E23" i="18"/>
  <c r="M6" i="23" l="1"/>
  <c r="F80" i="39" s="1"/>
  <c r="H78" i="39"/>
  <c r="B43" i="8"/>
  <c r="C38" i="8"/>
  <c r="F78" i="39"/>
  <c r="P6" i="23"/>
  <c r="G6" i="8"/>
  <c r="H6" i="8" s="1"/>
  <c r="F23" i="8"/>
  <c r="F4" i="23"/>
  <c r="E6" i="23"/>
  <c r="F6" i="23" s="1"/>
  <c r="E25" i="8"/>
  <c r="E32" i="8" s="1"/>
  <c r="E33" i="8" s="1"/>
  <c r="F28" i="8"/>
  <c r="O7" i="15"/>
  <c r="N21" i="15"/>
  <c r="P7" i="18"/>
  <c r="N21" i="18"/>
  <c r="J14" i="41"/>
  <c r="H19" i="41"/>
  <c r="N4" i="23"/>
  <c r="M14" i="23"/>
  <c r="N14" i="23" s="1"/>
  <c r="J20" i="41"/>
  <c r="P11" i="23"/>
  <c r="P12" i="23" s="1"/>
  <c r="P14" i="23"/>
  <c r="H7" i="23"/>
  <c r="H8" i="23" s="1"/>
  <c r="E7" i="23"/>
  <c r="G29" i="8"/>
  <c r="H29" i="8" s="1"/>
  <c r="R7" i="18"/>
  <c r="C21" i="18"/>
  <c r="H80" i="39" l="1"/>
  <c r="I12" i="8"/>
  <c r="I13" i="8"/>
  <c r="I23" i="8"/>
  <c r="I21" i="8"/>
  <c r="I8" i="8"/>
  <c r="I22" i="8"/>
  <c r="I9" i="8"/>
  <c r="I16" i="8"/>
  <c r="I20" i="8"/>
  <c r="I7" i="8"/>
  <c r="I10" i="8"/>
  <c r="I14" i="8"/>
  <c r="I17" i="8"/>
  <c r="I15" i="8"/>
  <c r="I19" i="8"/>
  <c r="G23" i="8"/>
  <c r="H23" i="8" s="1"/>
  <c r="I11" i="8"/>
  <c r="I18" i="8"/>
  <c r="C40" i="8"/>
  <c r="D40" i="8" s="1"/>
  <c r="D38" i="8"/>
  <c r="I6" i="8"/>
  <c r="N6" i="23"/>
  <c r="M7" i="23"/>
  <c r="C23" i="18"/>
  <c r="F7" i="23"/>
  <c r="E8" i="23"/>
  <c r="B44" i="8"/>
  <c r="B45" i="8" s="1"/>
  <c r="F38" i="8"/>
  <c r="G28" i="8"/>
  <c r="H28" i="8" s="1"/>
  <c r="F25" i="8"/>
  <c r="P21" i="18"/>
  <c r="R21" i="18" s="1"/>
  <c r="E34" i="8"/>
  <c r="K22" i="15"/>
  <c r="O21" i="15"/>
  <c r="M12" i="23"/>
  <c r="N12" i="23" s="1"/>
  <c r="N11" i="23"/>
  <c r="J19" i="41"/>
  <c r="Q7" i="18" l="1"/>
  <c r="F40" i="8"/>
  <c r="G38" i="8"/>
  <c r="F8" i="23"/>
  <c r="E22" i="23"/>
  <c r="F22" i="23" s="1"/>
  <c r="E12" i="23"/>
  <c r="F12" i="23" s="1"/>
  <c r="E18" i="23"/>
  <c r="F18" i="23" s="1"/>
  <c r="E24" i="23"/>
  <c r="F24" i="23" s="1"/>
  <c r="E20" i="23"/>
  <c r="F20" i="23" s="1"/>
  <c r="E14" i="23"/>
  <c r="F14" i="23" s="1"/>
  <c r="E16" i="23"/>
  <c r="F16" i="23" s="1"/>
  <c r="F32" i="8"/>
  <c r="G25" i="8"/>
  <c r="H25" i="8" s="1"/>
  <c r="N22" i="18"/>
  <c r="K9" i="41"/>
  <c r="K13" i="41"/>
  <c r="K7" i="41"/>
  <c r="K17" i="41"/>
  <c r="K10" i="41"/>
  <c r="K3" i="41"/>
  <c r="K12" i="41"/>
  <c r="K16" i="41"/>
  <c r="K6" i="41"/>
  <c r="K8" i="41"/>
  <c r="K4" i="41"/>
  <c r="K15" i="41"/>
  <c r="K5" i="41"/>
  <c r="K18" i="41"/>
  <c r="K11" i="41"/>
  <c r="K14" i="41"/>
  <c r="H34" i="8"/>
  <c r="P23" i="18"/>
  <c r="Q10" i="18"/>
  <c r="P22" i="18"/>
  <c r="Q15" i="18"/>
  <c r="G22" i="18"/>
  <c r="M22" i="18"/>
  <c r="L22" i="18"/>
  <c r="Q9" i="18"/>
  <c r="Q18" i="18"/>
  <c r="Q8" i="18"/>
  <c r="Q20" i="18"/>
  <c r="Q12" i="18"/>
  <c r="Q16" i="18"/>
  <c r="Q17" i="18"/>
  <c r="F22" i="18"/>
  <c r="O22" i="18"/>
  <c r="Q14" i="18"/>
  <c r="I22" i="18"/>
  <c r="Q13" i="18"/>
  <c r="Q19" i="18"/>
  <c r="H22" i="18"/>
  <c r="Q11" i="18"/>
  <c r="J22" i="18"/>
  <c r="E22" i="18"/>
  <c r="K22" i="18"/>
  <c r="J21" i="41"/>
  <c r="Q21" i="18" l="1"/>
  <c r="I30" i="8"/>
  <c r="F34" i="8"/>
  <c r="I32" i="8"/>
  <c r="G32" i="8"/>
  <c r="I26" i="8"/>
  <c r="I27" i="8"/>
  <c r="I31" i="8"/>
  <c r="F33" i="8"/>
  <c r="G33" i="8" s="1"/>
  <c r="I29" i="8"/>
  <c r="L22" i="15"/>
  <c r="I28" i="8"/>
  <c r="G40" i="8"/>
  <c r="C41" i="8"/>
  <c r="K19" i="41"/>
  <c r="I25" i="8"/>
  <c r="H32" i="8" l="1"/>
  <c r="O22" i="15" s="1"/>
  <c r="G34" i="8"/>
  <c r="N2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Marcos Cristino de Oliveira</author>
    <author>Marcos Cristino</author>
  </authors>
  <commentList>
    <comment ref="F4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Observar os valores que estão nas Diretrizes da Reprogramação 2022 para Anuidades, RRT, Taxas e Multas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1" shapeId="0" xr:uid="{00000000-0006-0000-0400-000002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Valor ajustado de acordo com o valor total  a receber de repasse do Fundo de apoio, aprovado nas Diretrizes de Reprogramação 2022</t>
        </r>
      </text>
    </comment>
    <comment ref="D22" authorId="2" shapeId="0" xr:uid="{00000000-0006-0000-0400-000003000000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Valor zerado, pois o mesmo não será utilizado para compor o orçamento, restando assim, ao chegar o fim do exercício, se tornar superávit.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  <author>Marcos Cristino de Oliveira</author>
  </authors>
  <commentList>
    <comment ref="P12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De acordo com as diretrizes de Reprogramação 2022, pg. 28:
"Na proposta de reprogramação do Plano de Ação 2022, fica </t>
        </r>
        <r>
          <rPr>
            <b/>
            <sz val="9"/>
            <color indexed="81"/>
            <rFont val="Segoe UI"/>
            <family val="2"/>
          </rPr>
          <t>VEDADA</t>
        </r>
        <r>
          <rPr>
            <sz val="9"/>
            <color indexed="81"/>
            <rFont val="Segoe UI"/>
            <family val="2"/>
          </rPr>
          <t>, a inobservância de aplicação do percentual máximo de 55% (cinquenta e cinco por cento) da Receita Corrente para despesas com pessoal."</t>
        </r>
      </text>
    </comment>
    <comment ref="E22" authorId="1" shapeId="0" xr:uid="{00000000-0006-0000-0500-000002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De acordo com as diretrizes de Reprogramação 2022, pg. 21:
Na proposta de reprogramação do Plano de Ação 2022, fica </t>
        </r>
        <r>
          <rPr>
            <b/>
            <sz val="9"/>
            <color indexed="81"/>
            <rFont val="Segoe UI"/>
            <family val="2"/>
          </rPr>
          <t>VEDADA</t>
        </r>
        <r>
          <rPr>
            <sz val="9"/>
            <color indexed="81"/>
            <rFont val="Segoe UI"/>
            <family val="2"/>
          </rPr>
          <t>, a inobservância de aplicação dos percentuais mínimos e máximos, referenciados na Receita de Arrecadação Líquida (RAL), para as atividades descritas no item 2.1, com exceção para o limite de Capacitação, mediante justificativas próprias, os CAU/UF e CAU/BR poderão flexibilizar a aplicação de recursos mínimo de 2% e máximo de 4% da folha de pagamento.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C8" authorId="0" shapeId="0" xr:uid="{00000000-0006-0000-0700-000001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8" authorId="0" shapeId="0" xr:uid="{00000000-0006-0000-0700-000002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47" authorId="0" shapeId="0" xr:uid="{00000000-0006-0000-0700-000003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47" authorId="0" shapeId="0" xr:uid="{00000000-0006-0000-0700-000004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64" authorId="0" shapeId="0" xr:uid="{00000000-0006-0000-0700-000005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64" authorId="0" shapeId="0" xr:uid="{00000000-0006-0000-0700-000006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84" authorId="0" shapeId="0" xr:uid="{00000000-0006-0000-0700-000007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84" authorId="0" shapeId="0" xr:uid="{00000000-0006-0000-0700-000008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99" authorId="0" shapeId="0" xr:uid="{00000000-0006-0000-0700-000009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99" authorId="0" shapeId="0" xr:uid="{00000000-0006-0000-0700-00000A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08" authorId="0" shapeId="0" xr:uid="{00000000-0006-0000-0700-00000B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08" authorId="0" shapeId="0" xr:uid="{00000000-0006-0000-0700-00000C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17" authorId="0" shapeId="0" xr:uid="{00000000-0006-0000-0700-00000D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17" authorId="0" shapeId="0" xr:uid="{00000000-0006-0000-0700-00000E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29" authorId="0" shapeId="0" xr:uid="{00000000-0006-0000-0700-00000F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29" authorId="0" shapeId="0" xr:uid="{00000000-0006-0000-0700-000010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41" authorId="0" shapeId="0" xr:uid="{00000000-0006-0000-0700-000011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41" authorId="0" shapeId="0" xr:uid="{00000000-0006-0000-0700-000012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56" authorId="0" shapeId="0" xr:uid="{00000000-0006-0000-0700-000013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56" authorId="0" shapeId="0" xr:uid="{00000000-0006-0000-0700-000014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69" authorId="0" shapeId="0" xr:uid="{00000000-0006-0000-0700-000015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69" authorId="0" shapeId="0" xr:uid="{00000000-0006-0000-0700-000016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78" authorId="0" shapeId="0" xr:uid="{00000000-0006-0000-0700-000017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78" authorId="0" shapeId="0" xr:uid="{00000000-0006-0000-0700-000018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87" authorId="0" shapeId="0" xr:uid="{00000000-0006-0000-0700-000019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87" authorId="0" shapeId="0" xr:uid="{00000000-0006-0000-0700-00001A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C196" authorId="0" shapeId="0" xr:uid="{00000000-0006-0000-0700-00001B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E196" authorId="0" shapeId="0" xr:uid="{00000000-0006-0000-0700-00001C000000}">
      <text>
        <r>
          <rPr>
            <b/>
            <sz val="18"/>
            <color indexed="81"/>
            <rFont val="Segoe UI"/>
            <family val="2"/>
          </rPr>
          <t xml:space="preserve">Valores conforme a execução orçamentária do SISCONT.NET. 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C7" authorId="0" shapeId="0" xr:uid="{00000000-0006-0000-0A00-000001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48" authorId="0" shapeId="0" xr:uid="{00000000-0006-0000-0A00-000002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63" authorId="0" shapeId="0" xr:uid="{00000000-0006-0000-0A00-000003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81" authorId="0" shapeId="0" xr:uid="{00000000-0006-0000-0A00-000004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97" authorId="0" shapeId="0" xr:uid="{00000000-0006-0000-0A00-000005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06" authorId="0" shapeId="0" xr:uid="{00000000-0006-0000-0A00-000006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15" authorId="0" shapeId="0" xr:uid="{00000000-0006-0000-0A00-000007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25" authorId="0" shapeId="0" xr:uid="{00000000-0006-0000-0A00-000008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37" authorId="0" shapeId="0" xr:uid="{00000000-0006-0000-0A00-000009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52" authorId="0" shapeId="0" xr:uid="{00000000-0006-0000-0A00-00000A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67" authorId="0" shapeId="0" xr:uid="{00000000-0006-0000-0A00-00000B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76" authorId="0" shapeId="0" xr:uid="{00000000-0006-0000-0A00-00000C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85" authorId="0" shapeId="0" xr:uid="{00000000-0006-0000-0A00-00000D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  <comment ref="C194" authorId="0" shapeId="0" xr:uid="{00000000-0006-0000-0A00-00000E000000}">
      <text>
        <r>
          <rPr>
            <sz val="18"/>
            <color indexed="81"/>
            <rFont val="Segoe UI"/>
            <family val="2"/>
          </rPr>
          <t xml:space="preserve">DEVE respeitar a correlação entre a ação estratégica e os objetivos estratégicos, conforme a aba - Ações estratégicas.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B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<sst xmlns="http://schemas.openxmlformats.org/spreadsheetml/2006/main" count="1547" uniqueCount="684">
  <si>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</si>
  <si>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</si>
  <si>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</si>
  <si>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</si>
  <si>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</si>
  <si>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</si>
  <si>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</si>
  <si>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</si>
  <si>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</si>
  <si>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</si>
  <si>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</si>
  <si>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</si>
  <si>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</si>
  <si>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</si>
  <si>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</si>
  <si>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</si>
  <si>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</si>
  <si>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</si>
  <si>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</si>
  <si>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</si>
  <si>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</si>
  <si>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</si>
  <si>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</si>
  <si>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</si>
  <si>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</si>
  <si>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</si>
  <si>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</si>
  <si>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</si>
  <si>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</si>
  <si>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</si>
  <si>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</si>
  <si>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</si>
  <si>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</si>
  <si>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</si>
  <si>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</si>
  <si>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</si>
  <si>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</si>
  <si>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</si>
  <si>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</si>
  <si>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</si>
  <si>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</si>
  <si>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</si>
  <si>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</si>
  <si>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</si>
  <si>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</si>
  <si>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</si>
  <si>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</si>
  <si>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</si>
  <si>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</si>
  <si>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</si>
  <si>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</si>
  <si>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</si>
  <si>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</si>
  <si>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</si>
  <si>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 xml:space="preserve">Fórmula </t>
  </si>
  <si>
    <t xml:space="preserve">Periodicidade </t>
  </si>
  <si>
    <t>B- INDICADORES DE RESULTADO</t>
  </si>
  <si>
    <t>A- INDICADORES INSTITUCIONAIS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</si>
  <si>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</si>
  <si>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</si>
  <si>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</si>
  <si>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</si>
  <si>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</si>
  <si>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</si>
  <si>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</si>
  <si>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</si>
  <si>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</si>
  <si>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</si>
  <si>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</si>
  <si>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</si>
  <si>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</si>
  <si>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</si>
  <si>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</si>
  <si>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</si>
  <si>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</si>
  <si>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</si>
  <si>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</si>
  <si>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</si>
  <si>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</si>
  <si>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</si>
  <si>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</si>
  <si>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</si>
  <si>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</si>
  <si>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</si>
  <si>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</si>
  <si>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</si>
  <si>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</si>
  <si>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</si>
  <si>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</si>
  <si>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</si>
  <si>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</si>
  <si>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</si>
  <si>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</si>
  <si>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</si>
  <si>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</si>
  <si>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</si>
  <si>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</si>
  <si>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</si>
  <si>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</si>
  <si>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</si>
  <si>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</si>
  <si>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</si>
  <si>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</si>
  <si>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</si>
  <si>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</si>
  <si>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</si>
  <si>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</si>
  <si>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</si>
  <si>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</si>
  <si>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</si>
  <si>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</si>
  <si>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</si>
  <si>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</si>
  <si>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</si>
  <si>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</si>
  <si>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</si>
  <si>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</si>
  <si>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</si>
  <si>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</si>
  <si>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</si>
  <si>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</si>
  <si>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</si>
  <si>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</si>
  <si>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</si>
  <si>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</si>
  <si>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</si>
  <si>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</si>
  <si>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</si>
  <si>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</si>
  <si>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</si>
  <si>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</si>
  <si>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</si>
  <si>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</si>
  <si>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</si>
  <si>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</si>
  <si>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</si>
  <si>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</si>
  <si>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</si>
  <si>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</si>
  <si>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</si>
  <si>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</si>
  <si>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</si>
  <si>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</si>
  <si>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</si>
  <si>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</si>
  <si>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</si>
  <si>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</si>
  <si>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</si>
  <si>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</si>
  <si>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</si>
  <si>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</si>
  <si>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Orientações de Preenchimento dos Elementos de Despesas:</t>
  </si>
  <si>
    <t>1.1.4 Taxas e Multas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</si>
  <si>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</si>
  <si>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</si>
  <si>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</si>
  <si>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</si>
  <si>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</si>
  <si>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</si>
  <si>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</si>
  <si>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</si>
  <si>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</si>
  <si>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</si>
  <si>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</si>
  <si>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</si>
  <si>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</si>
  <si>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</si>
  <si>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</si>
  <si>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</si>
  <si>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</si>
  <si>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</si>
  <si>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</si>
  <si>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</si>
  <si>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</si>
  <si>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</si>
  <si>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</si>
  <si>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</si>
  <si>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</si>
  <si>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</si>
  <si>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</si>
  <si>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</si>
  <si>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</si>
  <si>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 xml:space="preserve">Anual
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</si>
  <si>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</si>
  <si>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</si>
  <si>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</si>
  <si>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</si>
  <si>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</si>
  <si>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</si>
  <si>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</si>
  <si>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</si>
  <si>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</si>
  <si>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</si>
  <si>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</si>
  <si>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</si>
  <si>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</si>
  <si>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</si>
  <si>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</si>
  <si>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</si>
  <si>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</si>
  <si>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</si>
  <si>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</si>
  <si>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</si>
  <si>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</si>
  <si>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</si>
  <si>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</si>
  <si>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 xml:space="preserve">Semestral 
</t>
  </si>
  <si>
    <t>custo total de pessoal</t>
  </si>
  <si>
    <t xml:space="preserve">Semestral 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</si>
  <si>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</si>
  <si>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</si>
  <si>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</si>
  <si>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</si>
  <si>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</si>
  <si>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</si>
  <si>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</si>
  <si>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</si>
  <si>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</si>
  <si>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Obs.: Os Indicadores devem ser vinculados aos objetivos estratégicos priorizados no Mapa Estratégico do CAU/UF, ou seja, os indicadores dos objetivos estratégicos escolhidos no Mapa Estratégico devem ser mensurados.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</si>
  <si>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</si>
  <si>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</si>
  <si>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</si>
  <si>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</si>
  <si>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r>
      <t xml:space="preserve">Orientação: Selecionar os objetivos estratégicos prioritários em âmbito local trabalhados em 2022. Os objetivos estratégicos. em âmbito nacional, foram alterados para : </t>
    </r>
    <r>
      <rPr>
        <b/>
        <sz val="12"/>
        <rFont val="Calibri"/>
        <family val="2"/>
        <scheme val="minor"/>
      </rPr>
      <t>Fiscalização,  AU como Política de Estado e Acesso da Sociedade à AU</t>
    </r>
    <r>
      <rPr>
        <sz val="12"/>
        <rFont val="Calibri"/>
        <family val="2"/>
        <scheme val="minor"/>
      </rPr>
      <t>, devem ser obrigatoriamente trabalhados.</t>
    </r>
  </si>
  <si>
    <t>Orientações para preenchimento do Modelo do Plano de Ação - Programação 2022</t>
  </si>
  <si>
    <t>1) Usar o arquivo da Programação 2022 enviado pela GERPLAN. O anexo 4 é de preenchimento facultativo.</t>
  </si>
  <si>
    <t>Meta
Projeção
2022</t>
  </si>
  <si>
    <t>1.1.1.1.1 Anuidade do Exercício 2022</t>
  </si>
  <si>
    <t>1.1.1.2.1 Anuidade do Exercício 2022</t>
  </si>
  <si>
    <t>Programação
 2022</t>
  </si>
  <si>
    <t>Meta
Reprogramação
2021</t>
  </si>
  <si>
    <t>Justificativas para os indicadores que não foram propostas metas: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</si>
  <si>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</si>
  <si>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</si>
  <si>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</si>
  <si>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</si>
  <si>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</si>
  <si>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</si>
  <si>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</si>
  <si>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</si>
  <si>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</si>
  <si>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</si>
  <si>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</si>
  <si>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</si>
  <si>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</si>
  <si>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</si>
  <si>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</si>
  <si>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</si>
  <si>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</si>
  <si>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</si>
  <si>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</si>
  <si>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</si>
  <si>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</si>
  <si>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</si>
  <si>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</si>
  <si>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</si>
  <si>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</si>
  <si>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</si>
  <si>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</si>
  <si>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</si>
  <si>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</si>
  <si>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</si>
  <si>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</si>
  <si>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</si>
  <si>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</si>
  <si>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</si>
  <si>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</si>
  <si>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</si>
  <si>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</si>
  <si>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</si>
  <si>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</si>
  <si>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</si>
  <si>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</si>
  <si>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</si>
  <si>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</si>
  <si>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</si>
  <si>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</si>
  <si>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</si>
  <si>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</si>
  <si>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</si>
  <si>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</si>
  <si>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LEGENDA: P = PROJETO/ A = ATIVIDADE/ PE = PROJETO ESPECÍFICO / FA = FUNDO DE APOIO</t>
  </si>
  <si>
    <t>Objetivos de Desenvolvimento Sustentável</t>
  </si>
  <si>
    <t>II - Despesas de capital</t>
  </si>
  <si>
    <t>III - Projetos específicos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</si>
  <si>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</si>
  <si>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</si>
  <si>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</si>
  <si>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</si>
  <si>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</si>
  <si>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</si>
  <si>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</si>
  <si>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</si>
  <si>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</si>
  <si>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</si>
  <si>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</si>
  <si>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</si>
  <si>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</si>
  <si>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</si>
  <si>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</si>
  <si>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</si>
  <si>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</si>
  <si>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</si>
  <si>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</si>
  <si>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</si>
  <si>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</si>
  <si>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</si>
  <si>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</si>
  <si>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</si>
  <si>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</si>
  <si>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</si>
  <si>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</si>
  <si>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</si>
  <si>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</si>
  <si>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</si>
  <si>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</si>
  <si>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</si>
  <si>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</si>
  <si>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</si>
  <si>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</si>
  <si>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</si>
  <si>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</si>
  <si>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</si>
  <si>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</si>
  <si>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</si>
  <si>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</si>
  <si>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</si>
  <si>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</si>
  <si>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</si>
  <si>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</si>
  <si>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</si>
  <si>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</si>
  <si>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</si>
  <si>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</si>
  <si>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</si>
  <si>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</si>
  <si>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</si>
  <si>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</si>
  <si>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</si>
  <si>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</si>
  <si>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</si>
  <si>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</si>
  <si>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</si>
  <si>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</si>
  <si>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</si>
  <si>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</si>
  <si>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</si>
  <si>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</si>
  <si>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</si>
  <si>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</si>
  <si>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</si>
  <si>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</si>
  <si>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</si>
  <si>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</si>
  <si>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</si>
  <si>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</si>
  <si>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</si>
  <si>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</si>
  <si>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</si>
  <si>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</si>
  <si>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</si>
  <si>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</si>
  <si>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</si>
  <si>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</si>
  <si>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</si>
  <si>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</si>
  <si>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</si>
  <si>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</si>
  <si>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</si>
  <si>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</si>
  <si>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</si>
  <si>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</si>
  <si>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</si>
  <si>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</si>
  <si>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</si>
  <si>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</si>
  <si>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</si>
  <si>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</si>
  <si>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</si>
  <si>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</si>
  <si>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</si>
  <si>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</si>
  <si>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</si>
  <si>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</si>
  <si>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</si>
  <si>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</si>
  <si>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</si>
  <si>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</si>
  <si>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</si>
  <si>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2) Os objetivos estratégicos em âmbito nacional, foram mantidos em 2022: Fiscalização, AU como Política de Estado e Acesso da Sociedade à AU, e devem ser obrigatoriamente trabalhados.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</si>
  <si>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</si>
  <si>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</si>
  <si>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</si>
  <si>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</si>
  <si>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</si>
  <si>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</si>
  <si>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</si>
  <si>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</si>
  <si>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Selecione seu UF</t>
  </si>
  <si>
    <t>gerplan2022</t>
  </si>
  <si>
    <t>3) A Receita de Arrecadação Líquida (RAL) será calculada com base na Arrecadação Total, ou seja, com valores do Exercício de 2022 e Exercícios Anteriores. (Anexo 2)</t>
  </si>
  <si>
    <t>4) Vedada a inobservância de aplicação dos percentuais mínimo e máximo, com exceção da Capacitação (Anexo 2).</t>
  </si>
  <si>
    <t>5) Os órgãos deliberativos dos CAU/UF poderão, mediante as justificativas próprias, flexibilizar a aplicação de recursos mínimos e máximos em Capacitação na Programação do Plano de Ação e Orçamento de 2022. (Anexo 2)</t>
  </si>
  <si>
    <t>6) O valor da Reprogramação 2021 deve ser igual ao valor da última Reprogramação APROVADA 2021, ou seja, sem transposição.</t>
  </si>
  <si>
    <t>7) Para fins de manter a padronização deste documento:
- Não alterar cores, fórmulas e formatações no modelo;
- No preenchimento das células utilizar letras maiúsculas apenas em siglas e no começo da frase.</t>
  </si>
  <si>
    <t>8) Atentar as orientações em amarelo em cada aba da Planilha.</t>
  </si>
  <si>
    <t>9) Não reexibir e alterar as abas ocultas, são para uso posterior da GERPLAN e auxiliarão na elaboração dos Pareceres da Programação 2022.</t>
  </si>
  <si>
    <t>B. APLICAÇÕES</t>
  </si>
  <si>
    <t>III a - Percentual de utilização para capital</t>
  </si>
  <si>
    <t>III b - Percentual de utilização para PE</t>
  </si>
  <si>
    <t>P / A / PE</t>
  </si>
  <si>
    <t>Obj. Estratégico</t>
  </si>
  <si>
    <t>-</t>
  </si>
  <si>
    <t>Ação</t>
  </si>
  <si>
    <t>Custo da Ação</t>
  </si>
  <si>
    <t>Metas Físicas</t>
  </si>
  <si>
    <t>Meta da Ação  (Quant.)</t>
  </si>
  <si>
    <t>Descrições das Ações</t>
  </si>
  <si>
    <t>Ações Estratégicas Prioritárias</t>
  </si>
  <si>
    <t>Denominação do Projeto ou Atividade :</t>
  </si>
  <si>
    <t>ESTRUTURA BÁSICA PARA O FUNCIONAMENTO DO CONSELHO</t>
  </si>
  <si>
    <t>Aluguel da sede do CAU/PI.</t>
  </si>
  <si>
    <t>Internet: Despesa com contrato de prestação de serviços de Internet VIVO.</t>
  </si>
  <si>
    <t>Contratação de empresa de instalação de software de Sistema de Pessoal. Despesas com a manutenção do Sistema de Pessoal que faz a folha de pagamento, encargos, declarações anuais e demais obrigações de pessoal.</t>
  </si>
  <si>
    <t>Despesas bancárias.</t>
  </si>
  <si>
    <t>Despesas Judiciais.</t>
  </si>
  <si>
    <t>Vale Transporte</t>
  </si>
  <si>
    <t>Divulgação na imprensa Nacional</t>
  </si>
  <si>
    <t>Limpeza e manutenção de ar condicionados. Realizar contratação de serviços de limpeza e manutenção necessárias para 09 ar-condicionados do CAU/PI.</t>
  </si>
  <si>
    <t>Dedetização e descupinização da Sede do CAU/PI</t>
  </si>
  <si>
    <t>Contratação de serviços de assistência e suporte técnico para os equipamentos de informática do CAU/PI.</t>
  </si>
  <si>
    <t>Remuneração de empresa de segurança predial e preventiva. 01 (uma) empresa de segurança para realizar o monitoramento da cerca elétrica, alarme, sensores e câmeras por um período de 1 ano.</t>
  </si>
  <si>
    <t>Recarga dos extintores de incêndio da sede do CAU/PI: 04 extintores.</t>
  </si>
  <si>
    <t>Serviço de Intermediação estagiários (CIEE) - Direito</t>
  </si>
  <si>
    <t>Contratação de 01 (um) estagiário de nível superior (Direito).</t>
  </si>
  <si>
    <t>Contratação de 01 (um) estagiário de nível superior (Administração ou Contábeis).</t>
  </si>
  <si>
    <t>Serviço de Intermediação estagiários (CIEE) - Adm ou Contábeis</t>
  </si>
  <si>
    <t xml:space="preserve">Indenizações e restituições - Ressarcimento </t>
  </si>
  <si>
    <t>Contratação de serviços de reparo/pintura na sede do CAU/PI</t>
  </si>
  <si>
    <t>Aquisição de 2.000 máscaras descartáveis</t>
  </si>
  <si>
    <t>Contratação de empresa de consultoria para elaboração de Plano de Cargos e Salários (PCS)</t>
  </si>
  <si>
    <t>Elaboração do Termo de Referência para contratação de empresa de desenvolvimento de software</t>
  </si>
  <si>
    <t>Chamada pública para credenciamento de motoristas profissionais</t>
  </si>
  <si>
    <t>Aquisição de equipamentos para sistema de segurança do CAU/PI (câmeras, DVR, módulo Ethernet)</t>
  </si>
  <si>
    <t>Aquisição de Equipamentos e mesas (Ar condicionado, smartTV, Celulares, HD, entre outros)</t>
  </si>
  <si>
    <t>ATENDIMENTO DE EXCELÊNCIA NO CAU/PI</t>
  </si>
  <si>
    <t>Remuneração dos funcionários do atendimento do CAU/PI. 02 funcionários remunerados por um período de 1 ano (01 Supervisora de Atendimento e 01 Gertente Técnico).</t>
  </si>
  <si>
    <t>Contratação de 02 (dois) estagiários de nível superior (Administração/Secretariado).</t>
  </si>
  <si>
    <t>Serviço de Intermediação estagiários (CIEE).</t>
  </si>
  <si>
    <t>Locação e manutenção de impressora para o setor de Atendimento do CAU/PI</t>
  </si>
  <si>
    <t>INSTITUIÇÃO DA FISCALIZAÇÃO NO CAU/PI</t>
  </si>
  <si>
    <t>Efetuar o pagamento das despesas com a empresa de Correios e telégrafos</t>
  </si>
  <si>
    <t>Fiscalização itinerante e Averiguação de denúncias no interior do estado do Piauí. DIÁRIAS.</t>
  </si>
  <si>
    <t>Capacitação dos funcionários de fiscalização do CAU/PI por meio de seminários do CAU/BR e/ou CAU/Ufs. DIÁRIAS.</t>
  </si>
  <si>
    <t>Capacitação dos funcionários de fiscalização do CAU/PI por meio de seminários do CAU/BR e/ou CAU/Ufs. PASSAGENS.</t>
  </si>
  <si>
    <t>COMUNICAÇÃO DO CAU/PI</t>
  </si>
  <si>
    <t>Remuneração dos funcionários da comunicação do CAU/PI. 02 funcionários remunerados por um período de 1 ano (01 Analista de Comunicação e 01 assessor técnico).</t>
  </si>
  <si>
    <t>Auxílio alimentação. Realizar o pagamento do auxilio alimentação concedido pelo CAU/PI aos funcionários durante 1 ano (01 Analista de Comunicação e 01 assessor técnico).</t>
  </si>
  <si>
    <t>Participação do assessor de comunicação em eventos do CAU/BR. DIÁRIAS.</t>
  </si>
  <si>
    <t>Participação do assessor de comunicação em eventos do CAU/BR. PASSAGENS.</t>
  </si>
  <si>
    <t>Galeria Ex Presidentes do CAU/PI</t>
  </si>
  <si>
    <t>Placas comemorativas 10 anos do CAU</t>
  </si>
  <si>
    <t>Restauração da placa de identificação do Conselho</t>
  </si>
  <si>
    <t>PATROCÍNIO EM ARQUITETURA</t>
  </si>
  <si>
    <t>Aplicação de recursos para viabilizar a realização de Seminários, Mostras de Arquitetura, Cursos, Oficinas, etc., a serem firmados tanto com Entidades de Arquitetos como com Entidades Mistas.</t>
  </si>
  <si>
    <t>CAPACITAÇÃO DE FUNCIONÁRIOS E DIRIGENTES DO CAU/PI</t>
  </si>
  <si>
    <t>Capacitar funcionários do CAU/PI através de participação  em cursos oferecidos nas áreas correspondentes aos setores que formam a estrutura do Conselho.</t>
  </si>
  <si>
    <t>POR UMA ÉTICA PROFISSIONAL NO CAU/PI</t>
  </si>
  <si>
    <t>Participação dos membros da comissão de ética, ensino e exercício profissional como representantes do CAU/PI no Piauí ou em outros Estados. DIÁRIAS.</t>
  </si>
  <si>
    <t>Participação dos membros da comissão de ética, ensino e exercício profissional como representantes do CAU/PI no Piauí ou em outros Estados. PASSAGENS.</t>
  </si>
  <si>
    <t>ADMINISTRAÇÃO E PLANEJAMENTO DO CAU/PI</t>
  </si>
  <si>
    <t>Participação dos membros da comissão de finanças, atos administrativos e planejamento estratégico como representantes do CAU/PI no Piauí ou em outros Estados. DIÁRIAS.</t>
  </si>
  <si>
    <t>Participação dos membros da comissão de finanças, atos administrativos e planejamento estratégico como representantes do CAU/PI no Piauí ou em outros Estados. PASSAGENS.</t>
  </si>
  <si>
    <t>Participação de funcionários (exceto os da fiscalização e assistentes da comissão de ética),  em eventos realizados pelo CAU/BR E CAU/UFs. DIÁRIAS.</t>
  </si>
  <si>
    <t>Participação de funcionários (exceto os da fiscalização e assistentes da comissão de Ética),  em eventos realizados pelo CAU/BR E CAU/UFs. PASSAGENS.</t>
  </si>
  <si>
    <t>REPRESENTAÇÃO INSTITUCIONAL DO CAU/PI</t>
  </si>
  <si>
    <t>Participação do Presidente nas Plenárias Ampliadas. DIÁRIAS.</t>
  </si>
  <si>
    <t>Participação do Presidente nas Plenárias Ampliadas. PASSAGENS.</t>
  </si>
  <si>
    <t xml:space="preserve"> Diárias para Participação do Presidente , Vice - Presidente e convidados  em eventos dentro e fora do Estado. DIÁRIAS.</t>
  </si>
  <si>
    <t>Passagens para participação do Presidente do CAU/PI em eventos dentro e fora do Estado. PASSAGENS.</t>
  </si>
  <si>
    <t>Diárias para participação de conselheiros titulares ou suplentes que residem  no interior do Estado em plenárias na sede do CAU/PI</t>
  </si>
  <si>
    <t>ASSISTÊNCIA TÉCNICA</t>
  </si>
  <si>
    <t xml:space="preserve"> Diárias para participação dos membros  da Comissão  de Política Profissional  e/ou representantes em eventos dentro e fora do Estado</t>
  </si>
  <si>
    <t>Passagens para participação dos membros  da Comissão  de Política Profissional e/ou representantes em eventos dentro e fora do Estado</t>
  </si>
  <si>
    <t xml:space="preserve"> Diárias para participação dos membros  da Comissão  de Política  Urbana e Ambiental e/ou representantes em eventos dentro e fora do Estado</t>
  </si>
  <si>
    <t>Passagens para participação dos membros  da Comissão  de Política Urbana e Ambiental e/ou representantes em eventos dentro e fora do Estado</t>
  </si>
  <si>
    <t>Edital de implantação da ATHIS</t>
  </si>
  <si>
    <t xml:space="preserve">Confecção de material gráfico </t>
  </si>
  <si>
    <t>Edital de assessoria a Plano Diretor</t>
  </si>
  <si>
    <t>CONTRIBUIÇÃO AO FUNDO NACIONAL DE APOIO AOS CAU/Ufs</t>
  </si>
  <si>
    <t>CONTRIBUIÇÃO COM AS DESPESAS DO CSC-ATENDIMENTO</t>
  </si>
  <si>
    <t>CONTRIBUIÇÃO COM AS DESPESAS DO CSC-FISCALIZAÇÃO</t>
  </si>
  <si>
    <t>RESERVA DE CONTINGÊNCIA</t>
  </si>
  <si>
    <t>Reserva de Contingência</t>
  </si>
  <si>
    <t>Reprogramação 
2021
(A)</t>
  </si>
  <si>
    <t>R$</t>
  </si>
  <si>
    <t>Programação 
2022
(B)</t>
  </si>
  <si>
    <t>%
(C=B/A)</t>
  </si>
  <si>
    <t>Presidência</t>
  </si>
  <si>
    <t>Gerência Geral</t>
  </si>
  <si>
    <t>Gerência Técnica</t>
  </si>
  <si>
    <t>Comissão de Ética, ensino e exercício profissional</t>
  </si>
  <si>
    <t>Comissão de finanças, atos administrativos e planejamento estratégico do CAU/PI</t>
  </si>
  <si>
    <t xml:space="preserve">Comissão de política profissional e política urbana e ambiental </t>
  </si>
  <si>
    <t>Contribuição ao fundo nacional de apoio aos CAU/Ufs</t>
  </si>
  <si>
    <t>Viabilizar a operação dos CAU/UF, enquadrados como CAU Básico, em prol do desenvolvimento e fortalecimento da profissão e da arquitetura e urbanismo.</t>
  </si>
  <si>
    <t>Contribuição com as despesas do CSC-atendimento</t>
  </si>
  <si>
    <t>Gerir e manter a evolução e despesas relativas ao CSC-CAU- Resolução CAU/BR Nº 126/2020</t>
  </si>
  <si>
    <t>Contribuição com as despesas do CSC-fiscalização</t>
  </si>
  <si>
    <t>Reserva de contingência</t>
  </si>
  <si>
    <t>Manter uma reserva para emergências não contempladas pelo planejamento</t>
  </si>
  <si>
    <t>Estrutura básica para o funcionamento do conselho</t>
  </si>
  <si>
    <t>Manter o funcionamento do CAU/PI</t>
  </si>
  <si>
    <t>Atendimento de excelência no CAU/PI</t>
  </si>
  <si>
    <t>Manter o atendimento do CAU/PI em um patamar de excelência</t>
  </si>
  <si>
    <t>Instituição da fiscalização no CAU/PI</t>
  </si>
  <si>
    <t>Implementar a fiscalização do CAU/PI</t>
  </si>
  <si>
    <t>Comunicação do CAU/PI</t>
  </si>
  <si>
    <t>Implementar a comunicação do CAU/PI</t>
  </si>
  <si>
    <t>Patrocínio em Arquitetura</t>
  </si>
  <si>
    <t>Intensificar o relacionamento da sociedade com o Conselho</t>
  </si>
  <si>
    <t>Capacitação de funcionários e dirigentes do CAU/PI</t>
  </si>
  <si>
    <t>Capacitar o quadro funcional e os dirigentes do CAU/PI</t>
  </si>
  <si>
    <t>Por uma ética profissional no CAU/PI</t>
  </si>
  <si>
    <t>Divulgar e implementar a ética profissional do CAU/PI</t>
  </si>
  <si>
    <t>Administração e planejamento do CAU/PI</t>
  </si>
  <si>
    <t>Organizar os processos administrativos e financeiros visando uma gestão transparente</t>
  </si>
  <si>
    <t>Representação institucional do CAU/PI</t>
  </si>
  <si>
    <t>Inserir a cultura da Arquitetura e Urbanismo, visando melhorar a qualidade arquitetônica e urbana das cidades através de ações em parceria</t>
  </si>
  <si>
    <t>Assistência Técnica</t>
  </si>
  <si>
    <t>Incrementar a atuação da profissão junto às classes menos favorecidas</t>
  </si>
  <si>
    <t>Manter o equilíbrio entre as receitas e as despesas dos CAU/UF Básicos</t>
  </si>
  <si>
    <t>Assegurar a evolução e despesas relativas ao CSC-CAU- Resolução CAU/BR Nº 126/2020</t>
  </si>
  <si>
    <t>Atender às demandas inesperadas sem impactar o equilíbrio financeiro do Conselho</t>
  </si>
  <si>
    <t>Garantir totalmente o bom funcionamento do CAU/PI</t>
  </si>
  <si>
    <t>Garantir o atendimento de excelência no CAU/PI</t>
  </si>
  <si>
    <t>Garantir uma fiscalização  de excelência no Estado do Piauí</t>
  </si>
  <si>
    <t>Garantir excelente comunicação entre Conselho e sociedade</t>
  </si>
  <si>
    <t>Patrocinar eventos relacionados a Arquitetura e urbanismo fortalecendo a categoria e o relacionamento com a sociedade</t>
  </si>
  <si>
    <t>Ter funcionário e dirigentes qualificados garantindo o bom andamento das atividades do CAU/PI</t>
  </si>
  <si>
    <t>Contribuir positivamente para o exercício ético da profissão</t>
  </si>
  <si>
    <t>Contribuir positivamente com a  administração e organização do CAU/PI</t>
  </si>
  <si>
    <t>Contribuir positivamente na difusão da Arquitetura e urbanismo em todo Estado</t>
  </si>
  <si>
    <t>Garantir o incremento da atuação da profissão junto às classes menos favorecidas</t>
  </si>
  <si>
    <t>MAPA ESTRATÉGICO CAU/PI</t>
  </si>
  <si>
    <t>Realização de reunião com os presidentes de CAU/UF para assinatura de Termo de Cooperação</t>
  </si>
  <si>
    <t>Despesas com água, luz e telefone fixo e móvel. Água: 1.800 / Equatorial: 11.000 / Telemar: 1.200 / VIVO Móvel: 13.000,00.</t>
  </si>
  <si>
    <t>Licença de sistema de ponto eletrônico</t>
  </si>
  <si>
    <t>Anexo 4 - Quadro Descritivo de Ações e Metas do Plano de Ação 2022</t>
  </si>
  <si>
    <t>Remuneração dos funcionários do CAU/PI. 05 (cinco) funcionários remunerados por um período de 1 ano (01 Analista de Planejamento, 01 Analista Contador, 01 Gerente Geral, 01 Advogado e 01 Assessor Técnico).</t>
  </si>
  <si>
    <t>Remuneração de empresa de serviços gerais. Contrato de 01(um) funcionário de serviço de copa/limpeza da sede do CAU/PI.</t>
  </si>
  <si>
    <t>Fundo de pronto pagamento CAU/PI (Suprimento de fundos). 02 suprimentos de R$ 1000,00, cada.</t>
  </si>
  <si>
    <t>Contratação de empresa da Saúde e segurança do trabalho. Contratar 01 profissional/empresa de saúde e segurança do trabalho para elaborar o PCMSO E PPRA para o exercício de 2022.</t>
  </si>
  <si>
    <t>Auxílio alimentação. Realizar o pagamento do auxílio alimentação concedido pelo CAU/PI aos funcionários durante 1 ano (01 Analista de Planejamento, 01 Analista Contador, 01 Gerente Geral, 01 Advogado e 01 Assessor Técnico).</t>
  </si>
  <si>
    <t>Aquisição de material de consumo. Descrição: Material de expediente (R$ 3.500)  Material de limpeza (R$ 3.500) e Material de informática (R$ 2.000)</t>
  </si>
  <si>
    <t>Auxílio alimentação. Realizar o pagamento do auxilio alimentação concedido pelo CAU/PI aos funcionários durante 1 ano (01 Supervisora de Atendimento e 01 Gertente Técnico).</t>
  </si>
  <si>
    <t>Contratação de serviço de pesquisa de endereços, CPF e CNPJ, entre outros dados relevantes ao serviço de fiscalização.</t>
  </si>
  <si>
    <t>Evento Acessibilidade CAU/PI - Movimento Vida bem pensada</t>
  </si>
  <si>
    <t>Remuneração dos funcionários da fiscalização do CAU/PI. 03 funcionários remunerados por um período de 1 ano (02 Analistas Fiscais e 01 Assistente de Fiscalização).</t>
  </si>
  <si>
    <t>Manutenção dos Carros. Despesas com revisão (3.000) , taxas de licenciamento (300) e seguro dos veículos (2000+2000).</t>
  </si>
  <si>
    <t>Auxílio alimentação. Realizar o pagamento do auxilio alimentação concedido pelo CAU/PI aos funcionários durante 1 ano (02 Analistas Fiscais e 01 Assistente de Fiscalização).</t>
  </si>
  <si>
    <t>Contribuir mesnsalmente com o Fundo Nacional de Apoio aos CAU/Ufs conforme as Diretrizes 2022.</t>
  </si>
  <si>
    <t>Desenvolvimento de Software CAU/PI</t>
  </si>
  <si>
    <r>
      <t xml:space="preserve">Contribuir mesnsalmente com o CSC-Atendimento conforme as Diretrizes 2022 </t>
    </r>
    <r>
      <rPr>
        <strike/>
        <sz val="12"/>
        <color theme="1"/>
        <rFont val="Calibri"/>
        <family val="2"/>
        <scheme val="minor"/>
      </rPr>
      <t>(10,8%)</t>
    </r>
    <r>
      <rPr>
        <sz val="12"/>
        <color theme="1"/>
        <rFont val="Calibri"/>
        <family val="2"/>
        <scheme val="minor"/>
      </rPr>
      <t>.</t>
    </r>
  </si>
  <si>
    <r>
      <t xml:space="preserve">Contribuir mesnsalmente com o CSC-Fiscalização conforme as Diretrizes 2022 </t>
    </r>
    <r>
      <rPr>
        <strike/>
        <sz val="12"/>
        <color theme="1"/>
        <rFont val="Calibri"/>
        <family val="2"/>
        <scheme val="minor"/>
      </rPr>
      <t>(89,2%)</t>
    </r>
    <r>
      <rPr>
        <sz val="12"/>
        <color theme="1"/>
        <rFont val="Calibri"/>
        <family val="2"/>
        <scheme val="minor"/>
      </rPr>
      <t>.</t>
    </r>
  </si>
  <si>
    <t>Meta
Programação
2022</t>
  </si>
  <si>
    <t>Meta
Reprogramação
2022</t>
  </si>
  <si>
    <t>Programação
2022
R$ (A)</t>
  </si>
  <si>
    <t>Reprogramação 2022</t>
  </si>
  <si>
    <t xml:space="preserve">A custear com Recursos do Superávit Financeiro (R$)
 (E) </t>
  </si>
  <si>
    <t>Reprogramação 2022
 (D)</t>
  </si>
  <si>
    <t xml:space="preserve">Variação (2022/2022) </t>
  </si>
  <si>
    <t xml:space="preserve"> Valor (R$)
(F=D-A)</t>
  </si>
  <si>
    <t>% 
(D= F/A *100)</t>
  </si>
  <si>
    <t>PLANO DE AÇÃO -REPROGRAMAÇÃO  2022</t>
  </si>
  <si>
    <t>Programação 2022
  (A)</t>
  </si>
  <si>
    <t xml:space="preserve">Part. %
 (G)           </t>
  </si>
  <si>
    <t>Proposta Reprogramação 2022 (D=B+C)</t>
  </si>
  <si>
    <t>Valores
 (E=D-A)</t>
  </si>
  <si>
    <t>%       
 (F=E/A)</t>
  </si>
  <si>
    <t>Variação % 
(C=B/A)</t>
  </si>
  <si>
    <t>Programação 
2022
(D)</t>
  </si>
  <si>
    <t>Reprogramação 
2022
(E)</t>
  </si>
  <si>
    <t>Variação % 
(F=E/D)</t>
  </si>
  <si>
    <t>Reprogramação
 2022</t>
  </si>
  <si>
    <t>Anexo 2 - Limites de Aplicação dos Recursos Estratégicos - Reprogramação 2022</t>
  </si>
  <si>
    <t>Anexo 1 - Demonstrativo de Fontes e Aplicações - Reprogramação 2022</t>
  </si>
  <si>
    <t>Anexo 3- Aplicações por Projeto/Atividade - por Elemento de Despesa (Consolidado) - Reprogramação 2022</t>
  </si>
  <si>
    <t>AT/N/R/E/C</t>
  </si>
  <si>
    <t>N</t>
  </si>
  <si>
    <t>R</t>
  </si>
  <si>
    <t>E</t>
  </si>
  <si>
    <t>C</t>
  </si>
  <si>
    <t>AT</t>
  </si>
  <si>
    <t>RESUMO DA REPROGRAMAÇÃO 2022 - POR CATEGORIA ECONÔMICA</t>
  </si>
  <si>
    <t>A . FONTES</t>
  </si>
  <si>
    <t>I - Superávit financeiro acumulado em 2021</t>
  </si>
  <si>
    <t>CAU/UF:  CAU/PI</t>
  </si>
  <si>
    <t>CAU/UF: CAU/PI</t>
  </si>
  <si>
    <t>PREENCHIMENTO FACULTATIVO: Anexo 4 - Quadro Descritivo de Ações e Metas do Plano de Ação - Reprogramação 2022</t>
  </si>
  <si>
    <t xml:space="preserve">As informações devem ser transcritas para Quadro Geral. As células sinalizadas, em cinza, são fórmulas e não devem ser modificadas.
OBS: As ações estratégias são específicas de cada objetivo estratégico. A opção "Não se aplica" deve ser utilizada quando a ação  descrita não faz parte do rol das "Ações Estratégicas Prioritárias". </t>
  </si>
  <si>
    <t xml:space="preserve"> </t>
  </si>
  <si>
    <t xml:space="preserve">Fundo de Apoio </t>
  </si>
  <si>
    <t>Programação 
2022
(A)</t>
  </si>
  <si>
    <t>Reprogramação ordinária 2022</t>
  </si>
  <si>
    <t>Variação%
(E=D/A)</t>
  </si>
  <si>
    <t>A custear com Recursos do Fundo de Apoio (R$) 
(F)</t>
  </si>
  <si>
    <t>% Utilização do 
Fundo de Apoio 
(G=F/D)</t>
  </si>
  <si>
    <t>Proposta de Reprogramação 2022 (D=B+C)</t>
  </si>
  <si>
    <t>Orientações de Preenchimento do Anexo 4.Descritivo</t>
  </si>
  <si>
    <r>
      <t>1. Denominação do Projeto ou Atividade : Nome da iniciativa estratégica de acordo com o Quadro Geral.
2. Metas Físicas: bem ou serviço qualificado e quantificado resultante da execução da ação. Para efeito de padronização, as metas são organizadas em dois conjuntos
a) Meta da ação: consiste no quantitativo da ação. 
b) Descrição das ações: descrevem as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c) Ações Estratégicas Prioritárias: selecionar as ações que melhor se enquadram com o objetivo geral. A opção "Não se aplica" deve ser utilizada quando a ação descrita não faz parte do rol das "Ações Estratégicas Prioritárias". As ações selecionadas devem respeitar as  correlações com os objetivos estratégicos, conforme detalhamento na aba "Ações Estratégicas-Descrição".
3. Programação 2021: Considerar os valores aprovados vigentes na Programação do Plano de Ação 2021, de acordo com o quadro geral.
4. Reprogramação 2021: Considerar os valores executados até a data de corte com os valores projetados, de acordo com o quadro geral.
5. A custear com Recursos do Fundo de Apoio: Informar se o projeto ou atividade será financiada por recursos oriundos do fundo de apoio dos CAU/UF, apenas para os CAU/Básicos. Atenção: Cabe salientar que os CAU Básico, na elaboração de sua Reprogramação para 2021, deverão observar com maior rigor todos os procedimentos e estratégias estabelecidas nas Diretrizes e na</t>
    </r>
    <r>
      <rPr>
        <sz val="20"/>
        <color rgb="FFFF0000"/>
        <rFont val="Calibri"/>
        <family val="2"/>
        <scheme val="minor"/>
      </rPr>
      <t xml:space="preserve">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</t>
    </r>
    <r>
      <rPr>
        <sz val="20"/>
        <rFont val="Calibri"/>
        <family val="2"/>
        <scheme val="minor"/>
      </rPr>
      <t xml:space="preserve">
6. % Utilização do Fundo de Apoio: representatividade da utilização do fundo para custear a ação.</t>
    </r>
  </si>
  <si>
    <r>
      <t xml:space="preserve">Contratação de empresa de instalação de software de </t>
    </r>
    <r>
      <rPr>
        <b/>
        <sz val="12"/>
        <color theme="1"/>
        <rFont val="Calibri"/>
        <family val="2"/>
        <scheme val="minor"/>
      </rPr>
      <t>Sistema de Pessoal</t>
    </r>
    <r>
      <rPr>
        <sz val="12"/>
        <color theme="1"/>
        <rFont val="Calibri"/>
        <family val="2"/>
        <scheme val="minor"/>
      </rPr>
      <t>. Despesas com a manutenção do Sistema de Pessoal que faz a folha de pagamento, encargos, declarações anuais e demais obrigações de pessoal.</t>
    </r>
  </si>
  <si>
    <t>Licença de sistema de ponto eletrônico.</t>
  </si>
  <si>
    <t>Fundo de pronto pagamento CAU/PI (Suprimento de fundos). 02 suprimentos de R$ 1.000,00, cada.</t>
  </si>
  <si>
    <t>Aquisição de coletes para conselheiros e vice-presidente</t>
  </si>
  <si>
    <t>Participação de funcionários assistentes da comissão de ética, ensino e exercício profissional em outros Estados. DIÁRIAS.</t>
  </si>
  <si>
    <t>Participação de funcionários assistentes da comissão de ética, ensino e exercício profissional em outros Estados. PASSAGENS.</t>
  </si>
  <si>
    <t>Participação dos funcionários da comunicação em eventos dentro e fora do estado. DIÁRIAS.</t>
  </si>
  <si>
    <t>Participação  dos funcionários da comunicação em eventos do CAU/BR. PASSAGENS.</t>
  </si>
  <si>
    <t>Transporte de veículo (devolução do Etios)</t>
  </si>
  <si>
    <t>Aquisição de 01 (uma) impressora</t>
  </si>
  <si>
    <t>Aquisição de 01 (um) ar-condicionado</t>
  </si>
  <si>
    <t>Conserto de 02 (duas) impressoras</t>
  </si>
  <si>
    <t>Locação e manutenção de 01 (uma) impressora</t>
  </si>
  <si>
    <t>Locação de 01 (um) veículo</t>
  </si>
  <si>
    <t>Aquisição de suporte tipo pedestal para TV</t>
  </si>
  <si>
    <t>CAPITAL</t>
  </si>
  <si>
    <t>Comentários/Justificativas</t>
  </si>
  <si>
    <t>Considerando que há previsão orçamentária para capacitação, definir a estimativa média de horas de treinamento por colaborador</t>
  </si>
  <si>
    <t>Página:1/1</t>
  </si>
  <si>
    <t>Instituição da Fiscalização no CAU/PI</t>
  </si>
  <si>
    <t>Atendimento de Excelência ao Público Alvo</t>
  </si>
  <si>
    <t>GERÊNCIA TÉCNICA</t>
  </si>
  <si>
    <t>Contribuição com as Despesas do CSC - Fiscalização</t>
  </si>
  <si>
    <t>Contribuição com as Despesas do CSC - Atendimento</t>
  </si>
  <si>
    <t>Representação Institucional do CAU/PI</t>
  </si>
  <si>
    <t>PRESIDENCIA</t>
  </si>
  <si>
    <t>Capacitação de Funcionários e Dirigentes do CAU/PI</t>
  </si>
  <si>
    <t>Estrutura Básica para o Funcionamento do Conselho</t>
  </si>
  <si>
    <t>GERÊNCIA GERAL</t>
  </si>
  <si>
    <t>UNIDADE OPERACIONAL</t>
  </si>
  <si>
    <t>COMISSÃO DE POLÍTICA PROFISSIONAL E POLÍTICA URBANA E AMBIENTAL</t>
  </si>
  <si>
    <t>Por uma Ética Profissional no CAU/PI</t>
  </si>
  <si>
    <t>COMISSÃO DE ÉTICA, ENSINO E EXERCICIO PROFISSIONAL</t>
  </si>
  <si>
    <t>Administração e Planejamento do CAU/PI</t>
  </si>
  <si>
    <t>COMISSÃO DE FINANÇAS ATOS ADMINISTRATIVOS E PLANEJAMENTO ESTRATÉGICO</t>
  </si>
  <si>
    <t>COMISSÔES PERMANENTES</t>
  </si>
  <si>
    <t>A Pagar</t>
  </si>
  <si>
    <t>A Liquidar</t>
  </si>
  <si>
    <t>Orçamento</t>
  </si>
  <si>
    <t>Período</t>
  </si>
  <si>
    <t>Orçado</t>
  </si>
  <si>
    <t>Centro de Custo</t>
  </si>
  <si>
    <t>SALDOS</t>
  </si>
  <si>
    <t>PAGAMENTOS</t>
  </si>
  <si>
    <t>LIQUIDAÇÕES</t>
  </si>
  <si>
    <t>EMPENHOS</t>
  </si>
  <si>
    <t>Todos os centros de custos</t>
  </si>
  <si>
    <t>Demonstrativo de Empenhos e Pagamentos</t>
  </si>
  <si>
    <t>CNPJ: 14.882.936/0001-06</t>
  </si>
  <si>
    <t>Conselho de Arquitetura e Urbanismo do Estado do Piauí</t>
  </si>
  <si>
    <t>CAU-PI</t>
  </si>
  <si>
    <t>Executado</t>
  </si>
  <si>
    <t>Superávit Financeiro 2021</t>
  </si>
  <si>
    <t>Sim, está incluso o valor de 68,49 do Encontro de Contas.</t>
  </si>
  <si>
    <t>Aquisição de 01 (um) computador</t>
  </si>
  <si>
    <t>Programação 
2022 
(A)</t>
  </si>
  <si>
    <t>Reprogramação 
2022 
(B)</t>
  </si>
  <si>
    <t>Aquisição de material de consumo. Descrição: Material de expediente (R$ 3.500)  Material de limpeza (R$ 3.500) e Material de informática (R$ 1.025)</t>
  </si>
  <si>
    <t>Contribuir mesnsalmente com o CSC-Fiscalização conforme as Diretrizes 2022 (88,75%).</t>
  </si>
  <si>
    <t>Contribuir mesnsalmente com o CSC-Atendimento conforme as Diretrizes 2022 (11,25%).</t>
  </si>
  <si>
    <t>Execução Jan/Ago
 (B)</t>
  </si>
  <si>
    <t>Projetado Set/Dez
 (C )</t>
  </si>
  <si>
    <t>Execução 
Jan/Ago (B)</t>
  </si>
  <si>
    <t>Projetado
Set/Dez  (C)</t>
  </si>
  <si>
    <t>Execução 
01 Jan a 31 Ago (B)</t>
  </si>
  <si>
    <t>Projetado 
01 Set  a 31 Dez (C )</t>
  </si>
  <si>
    <t>Despesas com água, luz e telefone fixo e móvel. Água: 2.200 / Equatorial: 12.000 / Telemar: 1.200 / VIVO Móvel: 13.000,00.</t>
  </si>
  <si>
    <t>Manutenção dos Carros. Despesas com revisão (3000 - 247,90) , taxas de licenciamento (300 - 277,44) e seguro dos veículos (4.000 - 1.578,16).</t>
  </si>
  <si>
    <t>Período: 01/01/2022 a 31/08/2022</t>
  </si>
  <si>
    <t>Impresso em: 13/10/2022 09:54</t>
  </si>
  <si>
    <t xml:space="preserve">O Patrocínio em Arquitetura e a Assistência Técnica foram projetos excluídos devido a diminuição do repasse do Fundo de Apoio. </t>
  </si>
  <si>
    <t>Aquisição de 02 (dois) computadores</t>
  </si>
  <si>
    <t xml:space="preserve">Detalhamento da célula M5 R$ 86.400,00 refere-se a Auxílio Alimentação e R$ 3.000,00 refere-se a Vale Transporte. Justificativa: Com a redução das receitas correntes, o limite de gasto com pessoal não pôde ser preservado como na Programação 2022. Não se mostra razoável a suspensão de benefícios de servidores públicos estáveis sem a prévia adoção de medidas de contenção de despesas, como a diminuição de funcionários comissionados ou de funções comissionadas pela administração.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</si>
</sst>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* #,##0.00_-;\-* #,##0.00_-;_-* &quot;-&quot;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sz val="18"/>
      <color indexed="81"/>
      <name val="Segoe UI"/>
      <family val="2"/>
    </font>
    <font>
      <b/>
      <sz val="12"/>
      <color theme="0" tint="-4.9989318521683403E-2"/>
      <name val="Calibri"/>
      <family val="2"/>
      <scheme val="minor"/>
    </font>
    <font>
      <b/>
      <sz val="12"/>
      <color theme="0"/>
      <name val="Tahoma"/>
      <family val="2"/>
    </font>
    <font>
      <strike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0"/>
      <name val="Arial Narrow"/>
      <family val="2"/>
    </font>
    <font>
      <sz val="20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Tahoma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8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434343"/>
      <name val="Tahoma"/>
      <family val="2"/>
    </font>
    <font>
      <sz val="8"/>
      <color rgb="FF000000"/>
      <name val="Tahoma"/>
      <family val="2"/>
    </font>
    <font>
      <b/>
      <sz val="9"/>
      <color rgb="FFFFFFFF"/>
      <name val="Tahoma"/>
      <family val="2"/>
    </font>
    <font>
      <sz val="11"/>
      <color rgb="FF434343"/>
      <name val="Tahoma"/>
      <family val="2"/>
    </font>
    <font>
      <sz val="14"/>
      <color rgb="FF434343"/>
      <name val="Tahoma"/>
      <family val="2"/>
    </font>
    <font>
      <sz val="9"/>
      <color rgb="FF000000"/>
      <name val="Tahoma"/>
      <family val="2"/>
    </font>
    <font>
      <sz val="9"/>
      <color rgb="FF000000"/>
      <name val="Times New Roman"/>
      <family val="1"/>
    </font>
    <font>
      <sz val="18"/>
      <name val="Calibri"/>
      <family val="2"/>
      <scheme val="minor"/>
    </font>
    <font>
      <sz val="18"/>
      <color rgb="FF434343"/>
      <name val="Tahoma"/>
      <family val="2"/>
    </font>
    <font>
      <sz val="12"/>
      <color rgb="FF434343"/>
      <name val="Tahoma"/>
      <family val="2"/>
    </font>
    <font>
      <sz val="7"/>
      <color rgb="FF00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2A5664"/>
        <bgColor rgb="FF000000"/>
      </patternFill>
    </fill>
    <fill>
      <patternFill patternType="solid">
        <fgColor rgb="FFE4F0F0"/>
        <bgColor indexed="64"/>
      </patternFill>
    </fill>
    <fill>
      <patternFill patternType="solid">
        <fgColor rgb="FF2A5664"/>
        <bgColor rgb="FF47747D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</patternFill>
    </fill>
    <fill>
      <patternFill patternType="solid">
        <fgColor rgb="FF4682B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E5E5E5"/>
      </right>
      <top/>
      <bottom/>
      <diagonal/>
    </border>
    <border>
      <left style="thin">
        <color rgb="FFE5E5E5"/>
      </left>
      <right/>
      <top/>
      <bottom/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20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71" fontId="11" fillId="0" borderId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0" xfId="0"/>
    <xf numFmtId="0" fontId="9" fillId="2" borderId="0" xfId="0" applyFont="1" applyFill="1" applyAlignment="1">
      <alignment vertical="center" wrapText="1"/>
    </xf>
    <xf numFmtId="0" fontId="4" fillId="0" borderId="0" xfId="0" applyFont="1"/>
    <xf numFmtId="0" fontId="16" fillId="2" borderId="0" xfId="0" applyFont="1" applyFill="1"/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2" borderId="1" xfId="4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164" fontId="3" fillId="3" borderId="1" xfId="4" applyNumberFormat="1" applyFont="1" applyFill="1" applyBorder="1" applyAlignment="1" applyProtection="1">
      <alignment horizontal="left" vertical="center" wrapText="1"/>
    </xf>
    <xf numFmtId="169" fontId="3" fillId="3" borderId="1" xfId="4" applyNumberFormat="1" applyFont="1" applyFill="1" applyBorder="1" applyAlignment="1" applyProtection="1">
      <alignment horizontal="left" vertical="center" wrapText="1"/>
    </xf>
    <xf numFmtId="0" fontId="17" fillId="8" borderId="5" xfId="0" applyFont="1" applyFill="1" applyBorder="1" applyAlignment="1">
      <alignment horizontal="center"/>
    </xf>
    <xf numFmtId="0" fontId="17" fillId="0" borderId="1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168" fontId="0" fillId="0" borderId="0" xfId="4" applyNumberFormat="1" applyFont="1"/>
    <xf numFmtId="169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9" fillId="0" borderId="0" xfId="4" applyFont="1"/>
    <xf numFmtId="164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3" applyNumberFormat="1" applyFont="1"/>
    <xf numFmtId="43" fontId="0" fillId="0" borderId="0" xfId="0" applyNumberFormat="1"/>
    <xf numFmtId="168" fontId="0" fillId="0" borderId="0" xfId="4" applyNumberFormat="1" applyFont="1" applyAlignment="1">
      <alignment horizontal="center"/>
    </xf>
    <xf numFmtId="169" fontId="0" fillId="0" borderId="0" xfId="4" applyNumberFormat="1" applyFont="1" applyAlignment="1">
      <alignment horizontal="center"/>
    </xf>
    <xf numFmtId="164" fontId="0" fillId="5" borderId="0" xfId="4" applyFont="1" applyFill="1"/>
    <xf numFmtId="0" fontId="14" fillId="20" borderId="36" xfId="0" applyFont="1" applyFill="1" applyBorder="1" applyAlignment="1">
      <alignment horizontal="center" vertical="center"/>
    </xf>
    <xf numFmtId="0" fontId="36" fillId="2" borderId="0" xfId="0" applyFont="1" applyFill="1"/>
    <xf numFmtId="164" fontId="4" fillId="0" borderId="0" xfId="4" applyFont="1" applyAlignment="1">
      <alignment horizontal="center"/>
    </xf>
    <xf numFmtId="168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4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9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21" borderId="1" xfId="4" applyFont="1" applyFill="1" applyBorder="1" applyAlignment="1" applyProtection="1">
      <alignment horizontal="center" vertical="center"/>
      <protection locked="0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3" fillId="3" borderId="4" xfId="4" applyFont="1" applyFill="1" applyBorder="1" applyAlignment="1">
      <alignment horizontal="center" vertical="center" wrapText="1"/>
    </xf>
    <xf numFmtId="168" fontId="14" fillId="20" borderId="38" xfId="4" applyNumberFormat="1" applyFont="1" applyFill="1" applyBorder="1" applyAlignment="1">
      <alignment horizontal="center" vertical="center" wrapText="1"/>
    </xf>
    <xf numFmtId="169" fontId="14" fillId="20" borderId="36" xfId="4" applyNumberFormat="1" applyFont="1" applyFill="1" applyBorder="1" applyAlignment="1">
      <alignment horizontal="center" vertical="center" wrapText="1"/>
    </xf>
    <xf numFmtId="168" fontId="14" fillId="20" borderId="36" xfId="4" applyNumberFormat="1" applyFont="1" applyFill="1" applyBorder="1" applyAlignment="1">
      <alignment horizontal="center" vertical="center" wrapText="1"/>
    </xf>
    <xf numFmtId="168" fontId="14" fillId="20" borderId="39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164" fontId="14" fillId="20" borderId="40" xfId="4" applyFont="1" applyFill="1" applyBorder="1" applyAlignment="1">
      <alignment horizontal="center" vertical="center" wrapText="1"/>
    </xf>
    <xf numFmtId="49" fontId="14" fillId="20" borderId="36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wrapText="1"/>
    </xf>
    <xf numFmtId="49" fontId="0" fillId="0" borderId="0" xfId="0" applyNumberFormat="1"/>
    <xf numFmtId="164" fontId="18" fillId="22" borderId="42" xfId="4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168" fontId="14" fillId="20" borderId="38" xfId="4" applyNumberFormat="1" applyFont="1" applyFill="1" applyBorder="1" applyAlignment="1">
      <alignment horizontal="center" vertical="center"/>
    </xf>
    <xf numFmtId="49" fontId="0" fillId="0" borderId="0" xfId="4" applyNumberFormat="1" applyFont="1" applyFill="1" applyBorder="1"/>
    <xf numFmtId="49" fontId="0" fillId="0" borderId="0" xfId="4" applyNumberFormat="1" applyFont="1"/>
    <xf numFmtId="49" fontId="9" fillId="0" borderId="0" xfId="4" applyNumberFormat="1" applyFont="1"/>
    <xf numFmtId="164" fontId="36" fillId="0" borderId="0" xfId="4" applyFont="1"/>
    <xf numFmtId="164" fontId="9" fillId="0" borderId="0" xfId="4" applyFont="1" applyFill="1" applyBorder="1"/>
    <xf numFmtId="49" fontId="14" fillId="20" borderId="41" xfId="4" applyNumberFormat="1" applyFont="1" applyFill="1" applyBorder="1" applyAlignment="1">
      <alignment horizontal="center" vertical="center" wrapText="1"/>
    </xf>
    <xf numFmtId="0" fontId="37" fillId="0" borderId="0" xfId="13" applyFont="1"/>
    <xf numFmtId="166" fontId="10" fillId="0" borderId="0" xfId="3" applyNumberFormat="1" applyFont="1"/>
    <xf numFmtId="0" fontId="38" fillId="0" borderId="15" xfId="0" applyFont="1" applyBorder="1" applyAlignment="1">
      <alignment horizontal="left" vertical="center" wrapText="1"/>
    </xf>
    <xf numFmtId="0" fontId="16" fillId="0" borderId="1" xfId="13" applyFont="1" applyBorder="1" applyAlignment="1">
      <alignment vertical="center" wrapText="1" readingOrder="1"/>
    </xf>
    <xf numFmtId="41" fontId="3" fillId="2" borderId="1" xfId="13" applyNumberFormat="1" applyFont="1" applyFill="1" applyBorder="1" applyAlignment="1">
      <alignment horizontal="center" vertical="center" wrapText="1"/>
    </xf>
    <xf numFmtId="172" fontId="3" fillId="2" borderId="1" xfId="15" applyNumberFormat="1" applyFont="1" applyFill="1" applyBorder="1" applyAlignment="1">
      <alignment horizontal="right" vertical="center" wrapText="1"/>
    </xf>
    <xf numFmtId="0" fontId="21" fillId="0" borderId="0" xfId="13" applyFont="1" applyAlignment="1">
      <alignment horizontal="left"/>
    </xf>
    <xf numFmtId="0" fontId="21" fillId="0" borderId="0" xfId="13" applyFont="1"/>
    <xf numFmtId="165" fontId="39" fillId="0" borderId="0" xfId="13" applyNumberFormat="1" applyFont="1" applyAlignment="1">
      <alignment horizontal="center" vertical="center"/>
    </xf>
    <xf numFmtId="0" fontId="39" fillId="0" borderId="0" xfId="13" applyFont="1" applyAlignment="1">
      <alignment horizontal="center" vertical="center"/>
    </xf>
    <xf numFmtId="165" fontId="21" fillId="0" borderId="0" xfId="13" applyNumberFormat="1" applyFont="1"/>
    <xf numFmtId="41" fontId="21" fillId="0" borderId="0" xfId="13" applyNumberFormat="1" applyFont="1"/>
    <xf numFmtId="164" fontId="3" fillId="2" borderId="1" xfId="4" applyFont="1" applyFill="1" applyBorder="1" applyAlignment="1">
      <alignment horizontal="center" vertical="center" wrapText="1"/>
    </xf>
    <xf numFmtId="164" fontId="21" fillId="0" borderId="0" xfId="4" applyFont="1"/>
    <xf numFmtId="164" fontId="39" fillId="0" borderId="0" xfId="4" applyFont="1" applyAlignment="1">
      <alignment horizontal="center" vertical="center"/>
    </xf>
    <xf numFmtId="0" fontId="18" fillId="15" borderId="49" xfId="13" applyFont="1" applyFill="1" applyBorder="1" applyAlignment="1">
      <alignment horizontal="center" vertical="center" wrapText="1"/>
    </xf>
    <xf numFmtId="164" fontId="18" fillId="15" borderId="49" xfId="4" applyFont="1" applyFill="1" applyBorder="1" applyAlignment="1">
      <alignment horizontal="center" vertical="center" wrapText="1"/>
    </xf>
    <xf numFmtId="164" fontId="18" fillId="15" borderId="1" xfId="4" applyFont="1" applyFill="1" applyBorder="1" applyAlignment="1">
      <alignment horizontal="center"/>
    </xf>
    <xf numFmtId="41" fontId="18" fillId="15" borderId="1" xfId="13" applyNumberFormat="1" applyFont="1" applyFill="1" applyBorder="1" applyAlignment="1">
      <alignment horizontal="center"/>
    </xf>
    <xf numFmtId="164" fontId="16" fillId="0" borderId="0" xfId="4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3" applyFont="1" applyAlignment="1">
      <alignment horizontal="left" vertical="center"/>
    </xf>
    <xf numFmtId="0" fontId="22" fillId="15" borderId="0" xfId="13" applyFont="1" applyFill="1" applyAlignment="1">
      <alignment horizontal="center" vertical="center"/>
    </xf>
    <xf numFmtId="0" fontId="3" fillId="23" borderId="1" xfId="0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164" fontId="35" fillId="2" borderId="0" xfId="4" applyFont="1" applyFill="1" applyAlignment="1">
      <alignment vertical="center" wrapText="1"/>
    </xf>
    <xf numFmtId="0" fontId="10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18" fillId="15" borderId="14" xfId="0" applyFont="1" applyFill="1" applyBorder="1" applyAlignment="1" applyProtection="1">
      <alignment horizontal="left" vertical="center" wrapText="1"/>
      <protection locked="0"/>
    </xf>
    <xf numFmtId="0" fontId="18" fillId="15" borderId="4" xfId="0" applyFont="1" applyFill="1" applyBorder="1" applyAlignment="1" applyProtection="1">
      <alignment horizontal="center" vertical="center" wrapText="1"/>
      <protection locked="0"/>
    </xf>
    <xf numFmtId="0" fontId="18" fillId="15" borderId="26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center" vertical="top" wrapText="1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1" fontId="16" fillId="2" borderId="1" xfId="3" applyNumberFormat="1" applyFont="1" applyFill="1" applyBorder="1" applyAlignment="1" applyProtection="1">
      <alignment horizontal="center" vertical="center"/>
      <protection locked="0"/>
    </xf>
    <xf numFmtId="1" fontId="16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4" applyNumberFormat="1" applyFont="1" applyBorder="1" applyAlignment="1" applyProtection="1">
      <alignment horizontal="center" vertical="center" wrapText="1"/>
      <protection locked="0"/>
    </xf>
    <xf numFmtId="0" fontId="16" fillId="9" borderId="1" xfId="5" applyFont="1" applyFill="1" applyBorder="1" applyAlignment="1" applyProtection="1">
      <alignment horizontal="center" wrapText="1"/>
      <protection locked="0"/>
    </xf>
    <xf numFmtId="0" fontId="16" fillId="9" borderId="1" xfId="5" applyFont="1" applyFill="1" applyBorder="1" applyAlignment="1" applyProtection="1">
      <alignment horizontal="center" vertical="top" wrapText="1"/>
      <protection locked="0"/>
    </xf>
    <xf numFmtId="0" fontId="16" fillId="2" borderId="1" xfId="5" applyFont="1" applyFill="1" applyBorder="1" applyAlignment="1" applyProtection="1">
      <alignment horizontal="center" wrapText="1"/>
      <protection locked="0"/>
    </xf>
    <xf numFmtId="0" fontId="16" fillId="2" borderId="1" xfId="5" applyFont="1" applyFill="1" applyBorder="1" applyAlignment="1" applyProtection="1">
      <alignment horizontal="center" vertical="top" wrapText="1"/>
      <protection locked="0"/>
    </xf>
    <xf numFmtId="3" fontId="16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8" fillId="15" borderId="3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8" fontId="0" fillId="0" borderId="0" xfId="4" applyNumberFormat="1" applyFont="1" applyFill="1" applyBorder="1"/>
    <xf numFmtId="0" fontId="4" fillId="2" borderId="0" xfId="0" applyFont="1" applyFill="1" applyAlignment="1" applyProtection="1">
      <alignment horizontal="center"/>
      <protection locked="0"/>
    </xf>
    <xf numFmtId="164" fontId="4" fillId="3" borderId="1" xfId="4" applyFont="1" applyFill="1" applyBorder="1" applyAlignment="1" applyProtection="1">
      <alignment vertical="center" wrapText="1"/>
    </xf>
    <xf numFmtId="169" fontId="4" fillId="3" borderId="1" xfId="4" applyNumberFormat="1" applyFont="1" applyFill="1" applyBorder="1" applyAlignment="1" applyProtection="1">
      <alignment vertical="center" wrapText="1"/>
    </xf>
    <xf numFmtId="164" fontId="18" fillId="15" borderId="9" xfId="4" applyNumberFormat="1" applyFont="1" applyFill="1" applyBorder="1" applyAlignment="1" applyProtection="1">
      <alignment vertical="center" wrapText="1"/>
    </xf>
    <xf numFmtId="169" fontId="18" fillId="15" borderId="9" xfId="4" applyNumberFormat="1" applyFont="1" applyFill="1" applyBorder="1" applyAlignment="1" applyProtection="1">
      <alignment vertical="center" wrapText="1"/>
    </xf>
    <xf numFmtId="169" fontId="3" fillId="3" borderId="1" xfId="4" applyNumberFormat="1" applyFont="1" applyFill="1" applyBorder="1" applyAlignment="1" applyProtection="1">
      <alignment vertical="center" wrapText="1"/>
    </xf>
    <xf numFmtId="164" fontId="3" fillId="2" borderId="1" xfId="4" applyFont="1" applyFill="1" applyBorder="1" applyAlignment="1" applyProtection="1">
      <alignment vertical="center" wrapText="1"/>
    </xf>
    <xf numFmtId="164" fontId="3" fillId="5" borderId="1" xfId="4" applyFont="1" applyFill="1" applyBorder="1" applyAlignment="1" applyProtection="1">
      <alignment vertical="center" wrapText="1"/>
    </xf>
    <xf numFmtId="169" fontId="3" fillId="5" borderId="1" xfId="4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4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0" xfId="4" applyNumberFormat="1" applyFont="1" applyFill="1" applyBorder="1" applyAlignment="1" applyProtection="1">
      <alignment vertical="center" wrapText="1"/>
      <protection locked="0"/>
    </xf>
    <xf numFmtId="164" fontId="3" fillId="2" borderId="0" xfId="4" applyFont="1" applyFill="1" applyBorder="1" applyAlignment="1" applyProtection="1">
      <alignment horizontal="left" vertical="center" wrapText="1"/>
      <protection locked="0"/>
    </xf>
    <xf numFmtId="41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textRotation="90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7" fontId="3" fillId="2" borderId="0" xfId="4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protection locked="0"/>
    </xf>
    <xf numFmtId="0" fontId="15" fillId="8" borderId="0" xfId="0" applyFont="1" applyFill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164" fontId="33" fillId="2" borderId="0" xfId="0" applyNumberFormat="1" applyFont="1" applyFill="1" applyBorder="1" applyAlignment="1" applyProtection="1">
      <alignment horizontal="right" wrapText="1"/>
      <protection locked="0"/>
    </xf>
    <xf numFmtId="164" fontId="33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Protection="1">
      <protection locked="0"/>
    </xf>
    <xf numFmtId="0" fontId="23" fillId="0" borderId="0" xfId="0" applyFont="1" applyBorder="1" applyAlignment="1" applyProtection="1">
      <protection locked="0"/>
    </xf>
    <xf numFmtId="0" fontId="33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4" fontId="33" fillId="3" borderId="1" xfId="4" applyNumberFormat="1" applyFont="1" applyFill="1" applyBorder="1" applyAlignment="1" applyProtection="1">
      <alignment horizontal="right" vertical="center" wrapText="1"/>
    </xf>
    <xf numFmtId="164" fontId="22" fillId="15" borderId="1" xfId="4" applyNumberFormat="1" applyFont="1" applyFill="1" applyBorder="1" applyAlignment="1" applyProtection="1">
      <alignment horizontal="right" vertical="center" wrapText="1"/>
    </xf>
    <xf numFmtId="164" fontId="18" fillId="15" borderId="1" xfId="4" applyNumberFormat="1" applyFont="1" applyFill="1" applyBorder="1" applyAlignment="1" applyProtection="1">
      <alignment horizontal="right" vertical="center" wrapText="1"/>
    </xf>
    <xf numFmtId="169" fontId="18" fillId="15" borderId="1" xfId="4" applyNumberFormat="1" applyFont="1" applyFill="1" applyBorder="1" applyAlignment="1" applyProtection="1">
      <alignment horizontal="right" vertical="center" wrapText="1"/>
    </xf>
    <xf numFmtId="164" fontId="33" fillId="4" borderId="1" xfId="4" applyNumberFormat="1" applyFont="1" applyFill="1" applyBorder="1" applyAlignment="1" applyProtection="1">
      <alignment horizontal="right" vertical="center" wrapText="1"/>
    </xf>
    <xf numFmtId="169" fontId="33" fillId="4" borderId="1" xfId="4" applyNumberFormat="1" applyFont="1" applyFill="1" applyBorder="1" applyAlignment="1" applyProtection="1">
      <alignment horizontal="right" vertical="center" wrapText="1"/>
    </xf>
    <xf numFmtId="164" fontId="18" fillId="15" borderId="1" xfId="4" applyNumberFormat="1" applyFont="1" applyFill="1" applyBorder="1" applyAlignment="1" applyProtection="1">
      <alignment horizontal="left" vertical="center" wrapText="1"/>
    </xf>
    <xf numFmtId="169" fontId="18" fillId="15" borderId="1" xfId="4" applyNumberFormat="1" applyFont="1" applyFill="1" applyBorder="1" applyAlignment="1" applyProtection="1">
      <alignment horizontal="left" vertical="center" wrapText="1"/>
    </xf>
    <xf numFmtId="41" fontId="3" fillId="2" borderId="1" xfId="0" applyNumberFormat="1" applyFont="1" applyFill="1" applyBorder="1" applyAlignment="1" applyProtection="1">
      <alignment horizontal="center" vertical="center" wrapText="1"/>
    </xf>
    <xf numFmtId="41" fontId="3" fillId="17" borderId="1" xfId="0" applyNumberFormat="1" applyFont="1" applyFill="1" applyBorder="1" applyAlignment="1" applyProtection="1">
      <alignment horizontal="center" vertical="center" wrapText="1"/>
    </xf>
    <xf numFmtId="169" fontId="3" fillId="3" borderId="1" xfId="4" applyNumberFormat="1" applyFont="1" applyFill="1" applyBorder="1" applyAlignment="1" applyProtection="1">
      <alignment horizontal="right" vertical="center" wrapText="1"/>
    </xf>
    <xf numFmtId="166" fontId="3" fillId="3" borderId="1" xfId="4" applyNumberFormat="1" applyFont="1" applyFill="1" applyBorder="1" applyAlignment="1" applyProtection="1">
      <alignment horizontal="right" vertical="center" wrapText="1"/>
    </xf>
    <xf numFmtId="164" fontId="3" fillId="3" borderId="1" xfId="4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6" fontId="3" fillId="3" borderId="1" xfId="3" applyNumberFormat="1" applyFont="1" applyFill="1" applyBorder="1" applyAlignment="1" applyProtection="1">
      <alignment horizontal="right" vertical="center" wrapText="1"/>
    </xf>
    <xf numFmtId="165" fontId="15" fillId="19" borderId="1" xfId="0" applyNumberFormat="1" applyFont="1" applyFill="1" applyBorder="1" applyAlignment="1" applyProtection="1">
      <alignment vertical="center" wrapText="1"/>
    </xf>
    <xf numFmtId="169" fontId="15" fillId="19" borderId="1" xfId="4" applyNumberFormat="1" applyFont="1" applyFill="1" applyBorder="1" applyAlignment="1" applyProtection="1">
      <alignment vertical="center" wrapText="1"/>
    </xf>
    <xf numFmtId="169" fontId="3" fillId="2" borderId="1" xfId="4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164" fontId="3" fillId="4" borderId="1" xfId="4" applyNumberFormat="1" applyFont="1" applyFill="1" applyBorder="1" applyAlignment="1" applyProtection="1">
      <alignment horizontal="right" vertical="center" wrapText="1"/>
      <protection locked="0"/>
    </xf>
    <xf numFmtId="0" fontId="41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1" fillId="15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2" borderId="1" xfId="4" applyNumberFormat="1" applyFont="1" applyFill="1" applyBorder="1" applyAlignment="1" applyProtection="1">
      <alignment vertical="center" wrapText="1"/>
      <protection locked="0"/>
    </xf>
    <xf numFmtId="164" fontId="4" fillId="3" borderId="1" xfId="4" applyNumberFormat="1" applyFont="1" applyFill="1" applyBorder="1" applyAlignment="1" applyProtection="1">
      <alignment vertical="center" wrapText="1"/>
      <protection locked="0"/>
    </xf>
    <xf numFmtId="169" fontId="4" fillId="3" borderId="1" xfId="0" applyNumberFormat="1" applyFont="1" applyFill="1" applyBorder="1" applyAlignment="1">
      <alignment vertical="center" wrapText="1"/>
    </xf>
    <xf numFmtId="164" fontId="4" fillId="0" borderId="1" xfId="4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164" fontId="18" fillId="15" borderId="1" xfId="4" applyNumberFormat="1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right" vertical="center" wrapText="1"/>
    </xf>
    <xf numFmtId="164" fontId="18" fillId="0" borderId="8" xfId="4" applyNumberFormat="1" applyFont="1" applyFill="1" applyBorder="1" applyAlignment="1">
      <alignment horizontal="right" vertical="center" wrapText="1"/>
    </xf>
    <xf numFmtId="164" fontId="18" fillId="0" borderId="3" xfId="4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164" fontId="15" fillId="0" borderId="8" xfId="4" applyNumberFormat="1" applyFont="1" applyFill="1" applyBorder="1" applyAlignment="1">
      <alignment horizontal="right" vertical="center" wrapText="1"/>
    </xf>
    <xf numFmtId="41" fontId="15" fillId="19" borderId="3" xfId="0" applyNumberFormat="1" applyFont="1" applyFill="1" applyBorder="1" applyAlignment="1" applyProtection="1">
      <alignment vertical="center" wrapText="1"/>
    </xf>
    <xf numFmtId="164" fontId="3" fillId="3" borderId="3" xfId="4" applyFont="1" applyFill="1" applyBorder="1" applyAlignment="1" applyProtection="1">
      <alignment vertical="center" wrapText="1"/>
    </xf>
    <xf numFmtId="164" fontId="15" fillId="19" borderId="3" xfId="4" applyFont="1" applyFill="1" applyBorder="1" applyAlignment="1" applyProtection="1">
      <alignment vertical="center" wrapText="1"/>
    </xf>
    <xf numFmtId="41" fontId="15" fillId="19" borderId="10" xfId="0" applyNumberFormat="1" applyFont="1" applyFill="1" applyBorder="1" applyAlignment="1" applyProtection="1">
      <alignment vertical="center" wrapText="1"/>
    </xf>
    <xf numFmtId="164" fontId="3" fillId="3" borderId="10" xfId="4" applyFont="1" applyFill="1" applyBorder="1" applyAlignment="1" applyProtection="1">
      <alignment vertical="center" wrapText="1"/>
    </xf>
    <xf numFmtId="164" fontId="4" fillId="3" borderId="10" xfId="4" applyFont="1" applyFill="1" applyBorder="1" applyAlignment="1" applyProtection="1">
      <alignment vertical="center" wrapText="1"/>
    </xf>
    <xf numFmtId="164" fontId="4" fillId="2" borderId="10" xfId="4" applyFont="1" applyFill="1" applyBorder="1" applyAlignment="1" applyProtection="1">
      <alignment vertical="center" wrapText="1"/>
      <protection locked="0"/>
    </xf>
    <xf numFmtId="164" fontId="4" fillId="2" borderId="10" xfId="4" applyFont="1" applyFill="1" applyBorder="1" applyAlignment="1" applyProtection="1">
      <alignment vertical="center"/>
      <protection locked="0"/>
    </xf>
    <xf numFmtId="164" fontId="3" fillId="2" borderId="10" xfId="4" applyFont="1" applyFill="1" applyBorder="1" applyAlignment="1" applyProtection="1">
      <alignment vertical="center"/>
      <protection locked="0"/>
    </xf>
    <xf numFmtId="164" fontId="3" fillId="2" borderId="10" xfId="4" applyFont="1" applyFill="1" applyBorder="1" applyAlignment="1" applyProtection="1">
      <alignment vertical="center" wrapText="1"/>
      <protection locked="0"/>
    </xf>
    <xf numFmtId="164" fontId="15" fillId="19" borderId="10" xfId="4" applyFont="1" applyFill="1" applyBorder="1" applyAlignment="1" applyProtection="1">
      <alignment vertical="center" wrapText="1"/>
    </xf>
    <xf numFmtId="164" fontId="3" fillId="3" borderId="10" xfId="4" applyFont="1" applyFill="1" applyBorder="1" applyAlignment="1" applyProtection="1">
      <alignment vertical="center"/>
    </xf>
    <xf numFmtId="164" fontId="3" fillId="2" borderId="10" xfId="4" applyFont="1" applyFill="1" applyBorder="1" applyAlignment="1" applyProtection="1">
      <alignment vertical="center" wrapText="1"/>
    </xf>
    <xf numFmtId="164" fontId="3" fillId="2" borderId="3" xfId="4" applyFont="1" applyFill="1" applyBorder="1" applyAlignment="1" applyProtection="1">
      <alignment vertical="center" wrapText="1"/>
    </xf>
    <xf numFmtId="43" fontId="4" fillId="0" borderId="0" xfId="0" applyNumberFormat="1" applyFont="1" applyAlignment="1" applyProtection="1">
      <alignment vertical="center"/>
      <protection locked="0"/>
    </xf>
    <xf numFmtId="0" fontId="4" fillId="24" borderId="1" xfId="0" applyFont="1" applyFill="1" applyBorder="1" applyAlignment="1" applyProtection="1">
      <alignment horizontal="left" vertical="center"/>
      <protection locked="0"/>
    </xf>
    <xf numFmtId="164" fontId="4" fillId="24" borderId="1" xfId="4" applyNumberFormat="1" applyFont="1" applyFill="1" applyBorder="1" applyAlignment="1" applyProtection="1">
      <alignment vertical="center" wrapText="1"/>
      <protection locked="0"/>
    </xf>
    <xf numFmtId="169" fontId="3" fillId="3" borderId="3" xfId="4" applyNumberFormat="1" applyFont="1" applyFill="1" applyBorder="1" applyAlignment="1" applyProtection="1">
      <alignment vertical="center" wrapText="1"/>
    </xf>
    <xf numFmtId="169" fontId="15" fillId="19" borderId="3" xfId="4" applyNumberFormat="1" applyFont="1" applyFill="1" applyBorder="1" applyAlignment="1" applyProtection="1">
      <alignment vertical="center" wrapText="1"/>
    </xf>
    <xf numFmtId="0" fontId="18" fillId="15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8" fillId="15" borderId="17" xfId="0" applyFont="1" applyFill="1" applyBorder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1" fontId="18" fillId="15" borderId="1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Protection="1">
      <protection locked="0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vertical="center" wrapText="1"/>
      <protection locked="0"/>
    </xf>
    <xf numFmtId="0" fontId="44" fillId="2" borderId="0" xfId="0" applyFont="1" applyFill="1" applyAlignment="1" applyProtection="1">
      <alignment vertical="center" wrapText="1"/>
      <protection locked="0"/>
    </xf>
    <xf numFmtId="164" fontId="22" fillId="2" borderId="0" xfId="4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textRotation="90"/>
      <protection locked="0"/>
    </xf>
    <xf numFmtId="0" fontId="22" fillId="2" borderId="0" xfId="0" applyFont="1" applyFill="1" applyAlignment="1" applyProtection="1"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44" fillId="2" borderId="0" xfId="2" applyFont="1" applyFill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22" fillId="2" borderId="0" xfId="1" applyFont="1" applyFill="1" applyProtection="1">
      <protection locked="0"/>
    </xf>
    <xf numFmtId="0" fontId="44" fillId="2" borderId="0" xfId="0" applyFont="1" applyFill="1" applyProtection="1">
      <protection locked="0"/>
    </xf>
    <xf numFmtId="0" fontId="45" fillId="2" borderId="0" xfId="0" applyFont="1" applyFill="1" applyAlignment="1" applyProtection="1">
      <alignment vertical="center"/>
      <protection locked="0"/>
    </xf>
    <xf numFmtId="0" fontId="46" fillId="2" borderId="0" xfId="0" applyFont="1" applyFill="1" applyAlignment="1" applyProtection="1">
      <alignment vertical="center"/>
      <protection locked="0"/>
    </xf>
    <xf numFmtId="37" fontId="22" fillId="2" borderId="0" xfId="0" applyNumberFormat="1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vertical="center"/>
    </xf>
    <xf numFmtId="37" fontId="22" fillId="2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47" fillId="2" borderId="0" xfId="0" applyFont="1" applyFill="1" applyAlignment="1" applyProtection="1">
      <alignment vertical="center"/>
      <protection locked="0"/>
    </xf>
    <xf numFmtId="0" fontId="45" fillId="2" borderId="0" xfId="0" applyFont="1" applyFill="1" applyProtection="1">
      <protection locked="0"/>
    </xf>
    <xf numFmtId="0" fontId="46" fillId="2" borderId="0" xfId="0" applyFont="1" applyFill="1" applyProtection="1">
      <protection locked="0"/>
    </xf>
    <xf numFmtId="164" fontId="22" fillId="2" borderId="0" xfId="0" applyNumberFormat="1" applyFont="1" applyFill="1" applyBorder="1" applyAlignment="1" applyProtection="1">
      <alignment horizontal="right" wrapText="1"/>
      <protection locked="0"/>
    </xf>
    <xf numFmtId="164" fontId="33" fillId="2" borderId="1" xfId="4" applyNumberFormat="1" applyFont="1" applyFill="1" applyBorder="1" applyAlignment="1" applyProtection="1">
      <alignment horizontal="right" vertical="center" wrapText="1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48" fillId="16" borderId="1" xfId="0" applyFont="1" applyFill="1" applyBorder="1" applyAlignment="1" applyProtection="1">
      <alignment vertical="center" wrapText="1"/>
    </xf>
    <xf numFmtId="0" fontId="48" fillId="16" borderId="1" xfId="0" applyFont="1" applyFill="1" applyBorder="1" applyAlignment="1" applyProtection="1">
      <alignment horizontal="center" vertical="center" wrapText="1"/>
    </xf>
    <xf numFmtId="0" fontId="48" fillId="16" borderId="1" xfId="0" applyFont="1" applyFill="1" applyBorder="1" applyAlignment="1" applyProtection="1">
      <alignment vertical="center"/>
    </xf>
    <xf numFmtId="164" fontId="48" fillId="16" borderId="1" xfId="4" applyFont="1" applyFill="1" applyBorder="1" applyAlignment="1" applyProtection="1">
      <alignment vertical="center"/>
    </xf>
    <xf numFmtId="169" fontId="48" fillId="16" borderId="1" xfId="4" applyNumberFormat="1" applyFont="1" applyFill="1" applyBorder="1" applyAlignment="1" applyProtection="1">
      <alignment vertical="center"/>
    </xf>
    <xf numFmtId="164" fontId="15" fillId="0" borderId="1" xfId="4" applyFont="1" applyFill="1" applyBorder="1" applyAlignment="1" applyProtection="1">
      <alignment horizontal="right" vertical="center" wrapText="1"/>
    </xf>
    <xf numFmtId="0" fontId="48" fillId="16" borderId="1" xfId="0" applyFont="1" applyFill="1" applyBorder="1" applyAlignment="1" applyProtection="1">
      <alignment horizontal="left" vertical="center" wrapText="1"/>
    </xf>
    <xf numFmtId="164" fontId="48" fillId="16" borderId="1" xfId="4" applyFont="1" applyFill="1" applyBorder="1" applyAlignment="1" applyProtection="1">
      <alignment horizontal="center" vertical="center" wrapText="1"/>
    </xf>
    <xf numFmtId="0" fontId="48" fillId="18" borderId="1" xfId="0" applyFont="1" applyFill="1" applyBorder="1" applyAlignment="1" applyProtection="1">
      <alignment horizontal="center" vertical="center" wrapText="1"/>
    </xf>
    <xf numFmtId="164" fontId="15" fillId="0" borderId="1" xfId="4" applyFont="1" applyBorder="1" applyAlignment="1" applyProtection="1">
      <alignment horizontal="right" vertical="center" wrapText="1"/>
    </xf>
    <xf numFmtId="0" fontId="48" fillId="18" borderId="1" xfId="0" applyFont="1" applyFill="1" applyBorder="1" applyAlignment="1" applyProtection="1">
      <alignment horizontal="center" vertical="center" wrapText="1"/>
      <protection locked="0"/>
    </xf>
    <xf numFmtId="164" fontId="15" fillId="0" borderId="1" xfId="4" applyFont="1" applyBorder="1" applyAlignment="1" applyProtection="1">
      <alignment horizontal="right" vertical="center" wrapText="1"/>
      <protection locked="0"/>
    </xf>
    <xf numFmtId="0" fontId="18" fillId="15" borderId="1" xfId="0" applyFont="1" applyFill="1" applyBorder="1" applyAlignment="1" applyProtection="1">
      <alignment horizontal="center" vertical="center" wrapText="1"/>
      <protection locked="0"/>
    </xf>
    <xf numFmtId="41" fontId="18" fillId="15" borderId="1" xfId="0" applyNumberFormat="1" applyFont="1" applyFill="1" applyBorder="1" applyAlignment="1" applyProtection="1">
      <alignment horizontal="center" vertical="center" wrapText="1"/>
    </xf>
    <xf numFmtId="0" fontId="48" fillId="16" borderId="10" xfId="0" applyFont="1" applyFill="1" applyBorder="1" applyAlignment="1" applyProtection="1">
      <alignment horizontal="center" vertical="center" wrapText="1"/>
    </xf>
    <xf numFmtId="169" fontId="18" fillId="15" borderId="1" xfId="0" applyNumberFormat="1" applyFont="1" applyFill="1" applyBorder="1" applyAlignment="1" applyProtection="1">
      <alignment horizontal="center" vertical="center" wrapText="1"/>
    </xf>
    <xf numFmtId="0" fontId="48" fillId="16" borderId="10" xfId="0" applyFont="1" applyFill="1" applyBorder="1" applyAlignment="1" applyProtection="1">
      <alignment vertical="center" wrapText="1"/>
    </xf>
    <xf numFmtId="0" fontId="48" fillId="16" borderId="8" xfId="0" applyFont="1" applyFill="1" applyBorder="1" applyAlignment="1" applyProtection="1">
      <alignment vertical="center" wrapText="1"/>
    </xf>
    <xf numFmtId="0" fontId="48" fillId="16" borderId="3" xfId="0" applyFont="1" applyFill="1" applyBorder="1" applyAlignment="1" applyProtection="1">
      <alignment vertical="center" wrapText="1"/>
    </xf>
    <xf numFmtId="164" fontId="3" fillId="25" borderId="1" xfId="4" applyFont="1" applyFill="1" applyBorder="1" applyAlignment="1" applyProtection="1">
      <alignment vertical="center" wrapText="1"/>
    </xf>
    <xf numFmtId="164" fontId="3" fillId="2" borderId="0" xfId="4" applyNumberFormat="1" applyFont="1" applyFill="1" applyBorder="1" applyAlignment="1" applyProtection="1">
      <alignment horizontal="right" vertical="center" wrapText="1"/>
    </xf>
    <xf numFmtId="0" fontId="33" fillId="11" borderId="0" xfId="0" applyFont="1" applyFill="1" applyBorder="1" applyAlignment="1" applyProtection="1">
      <alignment vertical="center" wrapText="1"/>
      <protection locked="0"/>
    </xf>
    <xf numFmtId="0" fontId="33" fillId="11" borderId="16" xfId="0" applyFont="1" applyFill="1" applyBorder="1" applyAlignment="1" applyProtection="1">
      <alignment vertical="center" wrapText="1"/>
      <protection locked="0"/>
    </xf>
    <xf numFmtId="43" fontId="3" fillId="5" borderId="1" xfId="7" applyFont="1" applyFill="1" applyBorder="1" applyAlignment="1" applyProtection="1">
      <alignment vertical="center" wrapText="1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vertical="center"/>
    </xf>
    <xf numFmtId="164" fontId="4" fillId="4" borderId="1" xfId="4" applyFont="1" applyFill="1" applyBorder="1" applyAlignment="1" applyProtection="1">
      <alignment vertical="center" wrapText="1"/>
      <protection locked="0"/>
    </xf>
    <xf numFmtId="164" fontId="15" fillId="4" borderId="1" xfId="4" applyFont="1" applyFill="1" applyBorder="1" applyAlignment="1" applyProtection="1">
      <alignment horizontal="right" vertical="center" wrapText="1"/>
    </xf>
    <xf numFmtId="166" fontId="15" fillId="4" borderId="1" xfId="3" applyNumberFormat="1" applyFont="1" applyFill="1" applyBorder="1" applyAlignment="1" applyProtection="1">
      <alignment horizontal="right" vertical="center" wrapText="1"/>
    </xf>
    <xf numFmtId="173" fontId="3" fillId="3" borderId="1" xfId="4" applyNumberFormat="1" applyFont="1" applyFill="1" applyBorder="1" applyAlignment="1" applyProtection="1">
      <alignment vertical="center" wrapText="1"/>
    </xf>
    <xf numFmtId="173" fontId="4" fillId="3" borderId="1" xfId="4" applyNumberFormat="1" applyFont="1" applyFill="1" applyBorder="1" applyAlignment="1" applyProtection="1">
      <alignment vertical="center" wrapText="1"/>
    </xf>
    <xf numFmtId="173" fontId="4" fillId="2" borderId="10" xfId="4" applyNumberFormat="1" applyFont="1" applyFill="1" applyBorder="1" applyAlignment="1" applyProtection="1">
      <alignment vertical="center" wrapText="1"/>
      <protection locked="0"/>
    </xf>
    <xf numFmtId="173" fontId="4" fillId="2" borderId="10" xfId="4" applyNumberFormat="1" applyFont="1" applyFill="1" applyBorder="1" applyAlignment="1" applyProtection="1">
      <alignment vertical="center"/>
      <protection locked="0"/>
    </xf>
    <xf numFmtId="173" fontId="3" fillId="2" borderId="10" xfId="4" applyNumberFormat="1" applyFont="1" applyFill="1" applyBorder="1" applyAlignment="1" applyProtection="1">
      <alignment vertical="center"/>
      <protection locked="0"/>
    </xf>
    <xf numFmtId="173" fontId="3" fillId="2" borderId="10" xfId="4" applyNumberFormat="1" applyFont="1" applyFill="1" applyBorder="1" applyAlignment="1" applyProtection="1">
      <alignment vertical="center" wrapText="1"/>
      <protection locked="0"/>
    </xf>
    <xf numFmtId="173" fontId="3" fillId="3" borderId="1" xfId="4" applyNumberFormat="1" applyFont="1" applyFill="1" applyBorder="1" applyAlignment="1" applyProtection="1">
      <alignment vertical="center"/>
    </xf>
    <xf numFmtId="173" fontId="3" fillId="3" borderId="10" xfId="4" applyNumberFormat="1" applyFont="1" applyFill="1" applyBorder="1" applyAlignment="1" applyProtection="1">
      <alignment vertical="center"/>
    </xf>
    <xf numFmtId="0" fontId="54" fillId="2" borderId="8" xfId="0" applyFont="1" applyFill="1" applyBorder="1" applyAlignment="1" applyProtection="1">
      <alignment horizontal="left" vertical="center" wrapText="1"/>
      <protection locked="0"/>
    </xf>
    <xf numFmtId="0" fontId="53" fillId="2" borderId="8" xfId="0" applyFont="1" applyFill="1" applyBorder="1" applyAlignment="1">
      <alignment horizontal="left" vertical="center" wrapText="1"/>
    </xf>
    <xf numFmtId="0" fontId="54" fillId="15" borderId="1" xfId="0" applyFont="1" applyFill="1" applyBorder="1" applyAlignment="1">
      <alignment horizontal="center" vertical="center" wrapText="1"/>
    </xf>
    <xf numFmtId="0" fontId="55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4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169" fontId="5" fillId="2" borderId="1" xfId="0" applyNumberFormat="1" applyFont="1" applyFill="1" applyBorder="1" applyAlignment="1" applyProtection="1">
      <alignment vertical="center" wrapText="1"/>
      <protection locked="0"/>
    </xf>
    <xf numFmtId="164" fontId="47" fillId="15" borderId="1" xfId="4" applyFont="1" applyFill="1" applyBorder="1" applyAlignment="1">
      <alignment horizontal="right" vertical="center" wrapText="1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5" fillId="0" borderId="1" xfId="4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169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43" fontId="5" fillId="2" borderId="12" xfId="0" applyNumberFormat="1" applyFont="1" applyFill="1" applyBorder="1" applyAlignment="1" applyProtection="1">
      <alignment horizontal="left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4" fillId="24" borderId="0" xfId="0" applyFont="1" applyFill="1" applyProtection="1">
      <protection locked="0"/>
    </xf>
    <xf numFmtId="165" fontId="4" fillId="24" borderId="0" xfId="0" applyNumberFormat="1" applyFont="1" applyFill="1" applyProtection="1">
      <protection locked="0"/>
    </xf>
    <xf numFmtId="164" fontId="4" fillId="24" borderId="0" xfId="4" applyFont="1" applyFill="1" applyProtection="1">
      <protection locked="0"/>
    </xf>
    <xf numFmtId="10" fontId="4" fillId="24" borderId="0" xfId="3" applyNumberFormat="1" applyFont="1" applyFill="1" applyProtection="1">
      <protection locked="0"/>
    </xf>
    <xf numFmtId="2" fontId="4" fillId="24" borderId="0" xfId="0" applyNumberFormat="1" applyFont="1" applyFill="1" applyProtection="1">
      <protection locked="0"/>
    </xf>
    <xf numFmtId="49" fontId="61" fillId="0" borderId="0" xfId="0" applyNumberFormat="1" applyFont="1" applyAlignment="1">
      <alignment horizontal="center" vertical="top" wrapText="1" shrinkToFit="1" readingOrder="1"/>
    </xf>
    <xf numFmtId="0" fontId="4" fillId="0" borderId="0" xfId="0" applyFont="1" applyAlignment="1" applyProtection="1">
      <alignment vertical="center" wrapText="1"/>
      <protection locked="0"/>
    </xf>
    <xf numFmtId="4" fontId="4" fillId="24" borderId="0" xfId="0" applyNumberFormat="1" applyFont="1" applyFill="1" applyAlignment="1" applyProtection="1">
      <alignment vertical="center" wrapText="1"/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horizontal="center" vertical="center"/>
      <protection locked="0"/>
    </xf>
    <xf numFmtId="4" fontId="22" fillId="2" borderId="0" xfId="0" applyNumberFormat="1" applyFont="1" applyFill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1" fontId="15" fillId="2" borderId="0" xfId="0" applyNumberFormat="1" applyFont="1" applyFill="1" applyBorder="1" applyAlignment="1" applyProtection="1">
      <alignment horizontal="center" vertical="center" wrapText="1"/>
    </xf>
    <xf numFmtId="164" fontId="15" fillId="2" borderId="0" xfId="4" applyNumberFormat="1" applyFont="1" applyFill="1" applyBorder="1" applyAlignment="1" applyProtection="1">
      <alignment horizontal="left" vertical="center" wrapText="1"/>
    </xf>
    <xf numFmtId="167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15" fillId="2" borderId="0" xfId="0" applyNumberFormat="1" applyFont="1" applyFill="1" applyBorder="1" applyAlignment="1" applyProtection="1">
      <alignment horizontal="right" vertical="center" wrapText="1"/>
    </xf>
    <xf numFmtId="166" fontId="15" fillId="2" borderId="0" xfId="4" applyNumberFormat="1" applyFont="1" applyFill="1" applyBorder="1" applyAlignment="1" applyProtection="1">
      <alignment horizontal="right" vertical="center" wrapText="1"/>
    </xf>
    <xf numFmtId="0" fontId="16" fillId="2" borderId="0" xfId="0" applyFont="1" applyFill="1" applyProtection="1">
      <protection locked="0"/>
    </xf>
    <xf numFmtId="167" fontId="15" fillId="2" borderId="0" xfId="4" applyNumberFormat="1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 readingOrder="1"/>
      <protection locked="0"/>
    </xf>
    <xf numFmtId="0" fontId="15" fillId="2" borderId="0" xfId="0" applyFont="1" applyFill="1" applyBorder="1" applyAlignment="1" applyProtection="1">
      <alignment horizontal="center" vertical="center" wrapText="1" readingOrder="1"/>
      <protection locked="0"/>
    </xf>
    <xf numFmtId="0" fontId="57" fillId="2" borderId="0" xfId="0" applyFont="1" applyFill="1" applyProtection="1">
      <protection locked="0"/>
    </xf>
    <xf numFmtId="164" fontId="4" fillId="0" borderId="1" xfId="4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41" fontId="18" fillId="15" borderId="3" xfId="0" applyNumberFormat="1" applyFont="1" applyFill="1" applyBorder="1" applyAlignment="1" applyProtection="1">
      <alignment horizontal="center" vertical="center" wrapText="1"/>
    </xf>
    <xf numFmtId="173" fontId="3" fillId="2" borderId="10" xfId="4" applyNumberFormat="1" applyFont="1" applyFill="1" applyBorder="1" applyAlignment="1" applyProtection="1">
      <alignment vertical="center" wrapText="1"/>
    </xf>
    <xf numFmtId="0" fontId="54" fillId="1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 applyProtection="1">
      <alignment horizontal="center" vertical="center" wrapText="1"/>
    </xf>
    <xf numFmtId="173" fontId="15" fillId="19" borderId="1" xfId="4" applyNumberFormat="1" applyFont="1" applyFill="1" applyBorder="1" applyAlignment="1" applyProtection="1">
      <alignment vertical="center" wrapText="1"/>
    </xf>
    <xf numFmtId="0" fontId="16" fillId="2" borderId="0" xfId="0" applyFont="1" applyFill="1" applyProtection="1"/>
    <xf numFmtId="0" fontId="68" fillId="2" borderId="0" xfId="0" applyFont="1" applyFill="1" applyProtection="1">
      <protection locked="0"/>
    </xf>
    <xf numFmtId="0" fontId="68" fillId="0" borderId="0" xfId="0" applyFont="1" applyProtection="1">
      <protection locked="0"/>
    </xf>
    <xf numFmtId="0" fontId="63" fillId="28" borderId="56" xfId="0" applyNumberFormat="1" applyFont="1" applyFill="1" applyBorder="1" applyAlignment="1">
      <alignment horizontal="left" vertical="center" wrapText="1" shrinkToFit="1" readingOrder="1"/>
    </xf>
    <xf numFmtId="0" fontId="63" fillId="28" borderId="55" xfId="0" applyNumberFormat="1" applyFont="1" applyFill="1" applyBorder="1" applyAlignment="1">
      <alignment horizontal="right" vertical="center" wrapText="1" shrinkToFit="1" readingOrder="1"/>
    </xf>
    <xf numFmtId="0" fontId="63" fillId="28" borderId="55" xfId="0" applyNumberFormat="1" applyFont="1" applyFill="1" applyBorder="1" applyAlignment="1">
      <alignment horizontal="center" vertical="center" wrapText="1" shrinkToFit="1" readingOrder="1"/>
    </xf>
    <xf numFmtId="0" fontId="71" fillId="27" borderId="0" xfId="0" applyNumberFormat="1" applyFont="1" applyFill="1" applyAlignment="1">
      <alignment horizontal="left" vertical="top" wrapText="1" shrinkToFit="1" readingOrder="1"/>
    </xf>
    <xf numFmtId="4" fontId="71" fillId="27" borderId="0" xfId="0" applyNumberFormat="1" applyFont="1" applyFill="1" applyAlignment="1">
      <alignment horizontal="right" vertical="center" wrapText="1" shrinkToFit="1" readingOrder="1"/>
    </xf>
    <xf numFmtId="0" fontId="71" fillId="0" borderId="0" xfId="0" applyNumberFormat="1" applyFont="1" applyAlignment="1">
      <alignment horizontal="left" vertical="top" wrapText="1" shrinkToFit="1" readingOrder="1"/>
    </xf>
    <xf numFmtId="4" fontId="71" fillId="0" borderId="0" xfId="0" applyNumberFormat="1" applyFont="1" applyAlignment="1">
      <alignment horizontal="right" vertical="center" wrapText="1" shrinkToFit="1" readingOrder="1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7" fillId="2" borderId="0" xfId="0" applyFont="1" applyFill="1" applyAlignment="1" applyProtection="1">
      <alignment vertical="center" wrapText="1"/>
      <protection locked="0"/>
    </xf>
    <xf numFmtId="0" fontId="16" fillId="2" borderId="0" xfId="0" applyFont="1" applyFill="1" applyAlignment="1" applyProtection="1">
      <alignment vertical="center"/>
    </xf>
    <xf numFmtId="164" fontId="4" fillId="0" borderId="0" xfId="4" applyFont="1" applyAlignment="1" applyProtection="1">
      <alignment vertical="center" wrapText="1"/>
      <protection locked="0"/>
    </xf>
    <xf numFmtId="164" fontId="4" fillId="2" borderId="0" xfId="4" applyFont="1" applyFill="1" applyAlignment="1" applyProtection="1">
      <alignment vertical="center" wrapText="1"/>
      <protection locked="0"/>
    </xf>
    <xf numFmtId="164" fontId="22" fillId="2" borderId="0" xfId="4" applyFont="1" applyFill="1" applyAlignment="1" applyProtection="1">
      <alignment vertical="center" wrapText="1"/>
      <protection locked="0"/>
    </xf>
    <xf numFmtId="164" fontId="4" fillId="24" borderId="0" xfId="4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4" fontId="16" fillId="24" borderId="0" xfId="0" applyNumberFormat="1" applyFont="1" applyFill="1" applyAlignment="1" applyProtection="1">
      <alignment horizontal="center" vertical="center"/>
      <protection locked="0"/>
    </xf>
    <xf numFmtId="166" fontId="15" fillId="2" borderId="0" xfId="3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6" fontId="15" fillId="0" borderId="0" xfId="3" applyNumberFormat="1" applyFont="1" applyFill="1" applyBorder="1" applyAlignment="1" applyProtection="1">
      <alignment horizontal="right" vertical="center" wrapText="1"/>
    </xf>
    <xf numFmtId="173" fontId="3" fillId="0" borderId="10" xfId="4" applyNumberFormat="1" applyFont="1" applyFill="1" applyBorder="1" applyAlignment="1" applyProtection="1">
      <alignment vertical="center" wrapText="1"/>
      <protection locked="0"/>
    </xf>
    <xf numFmtId="41" fontId="18" fillId="15" borderId="8" xfId="0" applyNumberFormat="1" applyFont="1" applyFill="1" applyBorder="1" applyAlignment="1" applyProtection="1">
      <alignment horizontal="center" vertical="center" wrapText="1"/>
    </xf>
    <xf numFmtId="173" fontId="3" fillId="3" borderId="10" xfId="4" applyNumberFormat="1" applyFont="1" applyFill="1" applyBorder="1" applyAlignment="1" applyProtection="1">
      <alignment vertical="center" wrapText="1"/>
    </xf>
    <xf numFmtId="173" fontId="4" fillId="3" borderId="10" xfId="4" applyNumberFormat="1" applyFont="1" applyFill="1" applyBorder="1" applyAlignment="1" applyProtection="1">
      <alignment vertical="center" wrapText="1"/>
    </xf>
    <xf numFmtId="41" fontId="18" fillId="15" borderId="59" xfId="0" applyNumberFormat="1" applyFont="1" applyFill="1" applyBorder="1" applyAlignment="1" applyProtection="1">
      <alignment horizontal="center" vertical="center" wrapText="1"/>
    </xf>
    <xf numFmtId="41" fontId="15" fillId="19" borderId="60" xfId="0" applyNumberFormat="1" applyFont="1" applyFill="1" applyBorder="1" applyAlignment="1" applyProtection="1">
      <alignment vertical="center" wrapText="1"/>
    </xf>
    <xf numFmtId="164" fontId="3" fillId="3" borderId="60" xfId="4" applyFont="1" applyFill="1" applyBorder="1" applyAlignment="1" applyProtection="1">
      <alignment vertical="center" wrapText="1"/>
    </xf>
    <xf numFmtId="164" fontId="3" fillId="3" borderId="61" xfId="4" applyFont="1" applyFill="1" applyBorder="1" applyAlignment="1" applyProtection="1">
      <alignment vertical="center" wrapText="1"/>
    </xf>
    <xf numFmtId="164" fontId="15" fillId="19" borderId="62" xfId="4" applyFont="1" applyFill="1" applyBorder="1" applyAlignment="1" applyProtection="1">
      <alignment vertical="center" wrapText="1"/>
    </xf>
    <xf numFmtId="164" fontId="3" fillId="2" borderId="19" xfId="4" applyFont="1" applyFill="1" applyBorder="1" applyAlignment="1" applyProtection="1">
      <alignment vertical="center" wrapText="1"/>
    </xf>
    <xf numFmtId="164" fontId="3" fillId="3" borderId="59" xfId="4" applyFont="1" applyFill="1" applyBorder="1" applyAlignment="1" applyProtection="1">
      <alignment vertical="center" wrapText="1"/>
    </xf>
    <xf numFmtId="0" fontId="54" fillId="15" borderId="10" xfId="0" applyFont="1" applyFill="1" applyBorder="1" applyAlignment="1">
      <alignment horizontal="center" vertical="center" wrapText="1"/>
    </xf>
    <xf numFmtId="164" fontId="5" fillId="0" borderId="10" xfId="4" applyFont="1" applyFill="1" applyBorder="1" applyAlignment="1" applyProtection="1">
      <alignment vertical="center" wrapText="1"/>
      <protection locked="0"/>
    </xf>
    <xf numFmtId="164" fontId="5" fillId="2" borderId="10" xfId="4" applyFont="1" applyFill="1" applyBorder="1" applyAlignment="1" applyProtection="1">
      <alignment vertical="center" wrapText="1"/>
      <protection locked="0"/>
    </xf>
    <xf numFmtId="164" fontId="47" fillId="15" borderId="10" xfId="4" applyFont="1" applyFill="1" applyBorder="1" applyAlignment="1">
      <alignment horizontal="right" vertical="center" wrapText="1"/>
    </xf>
    <xf numFmtId="169" fontId="5" fillId="3" borderId="3" xfId="0" applyNumberFormat="1" applyFont="1" applyFill="1" applyBorder="1" applyAlignment="1">
      <alignment vertical="center" wrapText="1"/>
    </xf>
    <xf numFmtId="164" fontId="47" fillId="15" borderId="3" xfId="4" applyFont="1" applyFill="1" applyBorder="1" applyAlignment="1">
      <alignment horizontal="right" vertical="center" wrapText="1"/>
    </xf>
    <xf numFmtId="0" fontId="54" fillId="15" borderId="63" xfId="0" applyFont="1" applyFill="1" applyBorder="1" applyAlignment="1">
      <alignment horizontal="center" vertical="center" wrapText="1"/>
    </xf>
    <xf numFmtId="164" fontId="5" fillId="3" borderId="64" xfId="4" applyFont="1" applyFill="1" applyBorder="1" applyAlignment="1" applyProtection="1">
      <alignment vertical="center" wrapText="1"/>
      <protection locked="0"/>
    </xf>
    <xf numFmtId="164" fontId="47" fillId="15" borderId="65" xfId="4" applyFont="1" applyFill="1" applyBorder="1" applyAlignment="1">
      <alignment horizontal="right" vertical="center" wrapText="1"/>
    </xf>
    <xf numFmtId="0" fontId="54" fillId="15" borderId="10" xfId="0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16" fillId="0" borderId="1" xfId="3" applyNumberFormat="1" applyFont="1" applyBorder="1" applyAlignment="1" applyProtection="1">
      <alignment horizontal="center" vertical="center" wrapText="1"/>
      <protection locked="0"/>
    </xf>
    <xf numFmtId="166" fontId="16" fillId="0" borderId="1" xfId="3" applyNumberFormat="1" applyFont="1" applyBorder="1" applyAlignment="1" applyProtection="1">
      <alignment horizontal="center" vertical="center" wrapText="1"/>
      <protection locked="0"/>
    </xf>
    <xf numFmtId="170" fontId="16" fillId="0" borderId="1" xfId="3" applyNumberFormat="1" applyFont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 applyProtection="1">
      <alignment horizontal="left" vertical="center" wrapText="1"/>
      <protection locked="0"/>
    </xf>
    <xf numFmtId="0" fontId="15" fillId="8" borderId="0" xfId="0" applyFont="1" applyFill="1" applyBorder="1" applyAlignment="1" applyProtection="1">
      <alignment horizontal="left" vertical="center" wrapText="1"/>
      <protection locked="0"/>
    </xf>
    <xf numFmtId="0" fontId="18" fillId="15" borderId="1" xfId="0" applyFont="1" applyFill="1" applyBorder="1" applyAlignment="1" applyProtection="1">
      <alignment horizontal="left" vertical="center"/>
      <protection locked="0"/>
    </xf>
    <xf numFmtId="0" fontId="18" fillId="15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1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166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170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5" applyFont="1" applyFill="1" applyBorder="1" applyAlignment="1" applyProtection="1">
      <alignment horizontal="left" vertical="center" wrapText="1"/>
      <protection locked="0"/>
    </xf>
    <xf numFmtId="0" fontId="16" fillId="9" borderId="1" xfId="5" applyFont="1" applyFill="1" applyBorder="1" applyAlignment="1" applyProtection="1">
      <alignment horizontal="left" vertical="center" wrapText="1"/>
      <protection locked="0"/>
    </xf>
    <xf numFmtId="3" fontId="16" fillId="0" borderId="1" xfId="3" applyNumberFormat="1" applyFont="1" applyBorder="1" applyAlignment="1" applyProtection="1">
      <alignment horizontal="center" vertical="center" wrapText="1"/>
      <protection locked="0"/>
    </xf>
    <xf numFmtId="0" fontId="16" fillId="0" borderId="1" xfId="3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2" fontId="16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3" fillId="8" borderId="50" xfId="0" applyFont="1" applyFill="1" applyBorder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8" fillId="15" borderId="23" xfId="0" applyFont="1" applyFill="1" applyBorder="1" applyAlignment="1" applyProtection="1">
      <alignment horizontal="left" vertical="center" wrapText="1"/>
      <protection locked="0"/>
    </xf>
    <xf numFmtId="0" fontId="18" fillId="15" borderId="24" xfId="0" applyFont="1" applyFill="1" applyBorder="1" applyAlignment="1" applyProtection="1">
      <alignment horizontal="left" vertical="center" wrapText="1"/>
      <protection locked="0"/>
    </xf>
    <xf numFmtId="0" fontId="18" fillId="15" borderId="34" xfId="0" applyFont="1" applyFill="1" applyBorder="1" applyAlignment="1" applyProtection="1">
      <alignment horizontal="left" vertical="center" wrapText="1"/>
      <protection locked="0"/>
    </xf>
    <xf numFmtId="0" fontId="18" fillId="15" borderId="25" xfId="0" applyFont="1" applyFill="1" applyBorder="1" applyAlignment="1" applyProtection="1">
      <alignment horizontal="left" vertical="center" wrapText="1"/>
      <protection locked="0"/>
    </xf>
    <xf numFmtId="0" fontId="18" fillId="15" borderId="17" xfId="0" applyFont="1" applyFill="1" applyBorder="1" applyAlignment="1" applyProtection="1">
      <alignment horizontal="center" vertical="center" wrapText="1"/>
      <protection locked="0"/>
    </xf>
    <xf numFmtId="0" fontId="18" fillId="15" borderId="19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8" fillId="15" borderId="17" xfId="0" applyFont="1" applyFill="1" applyBorder="1" applyAlignment="1" applyProtection="1">
      <alignment horizontal="left" vertical="center"/>
      <protection locked="0"/>
    </xf>
    <xf numFmtId="0" fontId="18" fillId="15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0" fontId="18" fillId="15" borderId="2" xfId="0" applyFont="1" applyFill="1" applyBorder="1" applyAlignment="1" applyProtection="1">
      <alignment horizontal="left" vertical="center" wrapText="1"/>
      <protection locked="0"/>
    </xf>
    <xf numFmtId="0" fontId="18" fillId="15" borderId="49" xfId="0" applyFont="1" applyFill="1" applyBorder="1" applyAlignment="1" applyProtection="1">
      <alignment horizontal="left" vertical="center" wrapText="1"/>
      <protection locked="0"/>
    </xf>
    <xf numFmtId="0" fontId="18" fillId="15" borderId="1" xfId="0" applyFont="1" applyFill="1" applyBorder="1" applyAlignment="1" applyProtection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23" fillId="0" borderId="35" xfId="0" applyFont="1" applyBorder="1" applyAlignment="1" applyProtection="1">
      <alignment horizontal="center" vertical="center"/>
    </xf>
    <xf numFmtId="0" fontId="18" fillId="15" borderId="20" xfId="0" applyFont="1" applyFill="1" applyBorder="1" applyAlignment="1" applyProtection="1">
      <alignment horizontal="right" vertical="center" wrapText="1"/>
    </xf>
    <xf numFmtId="0" fontId="18" fillId="15" borderId="21" xfId="0" applyFont="1" applyFill="1" applyBorder="1" applyAlignment="1" applyProtection="1">
      <alignment horizontal="right" vertical="center" wrapText="1"/>
    </xf>
    <xf numFmtId="0" fontId="18" fillId="15" borderId="22" xfId="0" applyFont="1" applyFill="1" applyBorder="1" applyAlignment="1" applyProtection="1">
      <alignment horizontal="right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 applyProtection="1">
      <alignment horizontal="left" vertical="center"/>
      <protection locked="0"/>
    </xf>
    <xf numFmtId="0" fontId="18" fillId="15" borderId="8" xfId="0" applyFont="1" applyFill="1" applyBorder="1" applyAlignment="1" applyProtection="1">
      <alignment horizontal="left" vertical="center"/>
      <protection locked="0"/>
    </xf>
    <xf numFmtId="0" fontId="18" fillId="15" borderId="3" xfId="0" applyFont="1" applyFill="1" applyBorder="1" applyAlignment="1" applyProtection="1">
      <alignment horizontal="left" vertical="center"/>
      <protection locked="0"/>
    </xf>
    <xf numFmtId="0" fontId="18" fillId="15" borderId="11" xfId="0" applyFont="1" applyFill="1" applyBorder="1" applyAlignment="1" applyProtection="1">
      <alignment horizontal="center" vertical="center" wrapText="1"/>
    </xf>
    <xf numFmtId="0" fontId="18" fillId="15" borderId="13" xfId="0" applyFont="1" applyFill="1" applyBorder="1" applyAlignment="1" applyProtection="1">
      <alignment horizontal="center" vertical="center" wrapText="1"/>
    </xf>
    <xf numFmtId="0" fontId="18" fillId="15" borderId="17" xfId="0" applyFont="1" applyFill="1" applyBorder="1" applyAlignment="1" applyProtection="1">
      <alignment horizontal="center" vertical="center" wrapText="1"/>
    </xf>
    <xf numFmtId="0" fontId="18" fillId="15" borderId="19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1" fontId="18" fillId="15" borderId="49" xfId="0" applyNumberFormat="1" applyFont="1" applyFill="1" applyBorder="1" applyAlignment="1" applyProtection="1">
      <alignment horizontal="center" vertical="center" wrapText="1"/>
    </xf>
    <xf numFmtId="41" fontId="18" fillId="15" borderId="4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165" fontId="18" fillId="15" borderId="1" xfId="0" applyNumberFormat="1" applyFont="1" applyFill="1" applyBorder="1" applyAlignment="1" applyProtection="1">
      <alignment horizontal="center" vertical="center" wrapText="1"/>
    </xf>
    <xf numFmtId="0" fontId="48" fillId="16" borderId="17" xfId="0" applyFont="1" applyFill="1" applyBorder="1" applyAlignment="1" applyProtection="1">
      <alignment horizontal="center" vertical="center" wrapText="1"/>
    </xf>
    <xf numFmtId="0" fontId="48" fillId="16" borderId="18" xfId="0" applyFont="1" applyFill="1" applyBorder="1" applyAlignment="1" applyProtection="1">
      <alignment horizontal="center" vertical="center" wrapText="1"/>
    </xf>
    <xf numFmtId="0" fontId="48" fillId="16" borderId="49" xfId="0" applyFont="1" applyFill="1" applyBorder="1" applyAlignment="1" applyProtection="1">
      <alignment horizontal="center" vertical="center" wrapText="1"/>
    </xf>
    <xf numFmtId="0" fontId="48" fillId="16" borderId="4" xfId="0" applyFont="1" applyFill="1" applyBorder="1" applyAlignment="1" applyProtection="1">
      <alignment horizontal="center" vertical="center" wrapText="1"/>
    </xf>
    <xf numFmtId="0" fontId="18" fillId="15" borderId="10" xfId="0" applyFont="1" applyFill="1" applyBorder="1" applyAlignment="1" applyProtection="1">
      <alignment horizontal="left" vertical="center" wrapText="1"/>
      <protection locked="0"/>
    </xf>
    <xf numFmtId="0" fontId="18" fillId="15" borderId="8" xfId="0" applyFont="1" applyFill="1" applyBorder="1" applyAlignment="1" applyProtection="1">
      <alignment horizontal="left" vertical="center" wrapText="1"/>
      <protection locked="0"/>
    </xf>
    <xf numFmtId="0" fontId="18" fillId="15" borderId="3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1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18" fillId="15" borderId="1" xfId="0" applyFont="1" applyFill="1" applyBorder="1" applyAlignment="1" applyProtection="1">
      <alignment horizontal="center" vertical="center" textRotation="90"/>
    </xf>
    <xf numFmtId="41" fontId="18" fillId="15" borderId="1" xfId="0" applyNumberFormat="1" applyFont="1" applyFill="1" applyBorder="1" applyAlignment="1" applyProtection="1">
      <alignment horizontal="center" vertical="center" wrapText="1"/>
    </xf>
    <xf numFmtId="0" fontId="18" fillId="15" borderId="3" xfId="0" applyFont="1" applyFill="1" applyBorder="1" applyAlignment="1" applyProtection="1">
      <alignment horizontal="center" vertical="center" textRotation="90"/>
    </xf>
    <xf numFmtId="0" fontId="15" fillId="2" borderId="1" xfId="0" applyFont="1" applyFill="1" applyBorder="1" applyAlignment="1" applyProtection="1">
      <alignment horizontal="left" vertical="center"/>
    </xf>
    <xf numFmtId="41" fontId="3" fillId="2" borderId="1" xfId="0" applyNumberFormat="1" applyFont="1" applyFill="1" applyBorder="1" applyAlignment="1" applyProtection="1">
      <alignment horizontal="left" vertical="center" wrapText="1"/>
    </xf>
    <xf numFmtId="41" fontId="18" fillId="15" borderId="1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8" fillId="15" borderId="51" xfId="0" applyFont="1" applyFill="1" applyBorder="1" applyAlignment="1" applyProtection="1">
      <alignment horizontal="left" vertical="center"/>
      <protection locked="0"/>
    </xf>
    <xf numFmtId="0" fontId="18" fillId="15" borderId="52" xfId="0" applyFont="1" applyFill="1" applyBorder="1" applyAlignment="1" applyProtection="1">
      <alignment horizontal="left" vertical="center"/>
      <protection locked="0"/>
    </xf>
    <xf numFmtId="0" fontId="18" fillId="15" borderId="53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wrapText="1"/>
    </xf>
    <xf numFmtId="0" fontId="3" fillId="17" borderId="4" xfId="0" applyFont="1" applyFill="1" applyBorder="1" applyAlignment="1" applyProtection="1">
      <alignment horizontal="center" vertical="center" wrapText="1"/>
    </xf>
    <xf numFmtId="0" fontId="3" fillId="17" borderId="1" xfId="0" applyFont="1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45" fillId="2" borderId="16" xfId="0" applyFont="1" applyFill="1" applyBorder="1" applyAlignment="1" applyProtection="1">
      <alignment horizontal="center" vertical="center"/>
      <protection locked="0"/>
    </xf>
    <xf numFmtId="0" fontId="20" fillId="15" borderId="1" xfId="0" applyFont="1" applyFill="1" applyBorder="1" applyAlignment="1" applyProtection="1">
      <alignment horizontal="left" vertical="center"/>
      <protection locked="0"/>
    </xf>
    <xf numFmtId="0" fontId="21" fillId="5" borderId="1" xfId="0" applyFont="1" applyFill="1" applyBorder="1" applyAlignment="1" applyProtection="1">
      <alignment horizontal="justify" vertical="center" wrapText="1"/>
      <protection locked="0"/>
    </xf>
    <xf numFmtId="0" fontId="18" fillId="15" borderId="10" xfId="0" applyFont="1" applyFill="1" applyBorder="1" applyAlignment="1" applyProtection="1">
      <alignment horizontal="center" vertical="center"/>
      <protection locked="0"/>
    </xf>
    <xf numFmtId="0" fontId="18" fillId="15" borderId="8" xfId="0" applyFont="1" applyFill="1" applyBorder="1" applyAlignment="1" applyProtection="1">
      <alignment horizontal="center" vertical="center"/>
      <protection locked="0"/>
    </xf>
    <xf numFmtId="164" fontId="18" fillId="15" borderId="1" xfId="4" applyFont="1" applyFill="1" applyBorder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 applyProtection="1">
      <alignment horizontal="right" vertical="center" wrapText="1"/>
    </xf>
    <xf numFmtId="169" fontId="18" fillId="15" borderId="1" xfId="4" applyNumberFormat="1" applyFont="1" applyFill="1" applyBorder="1" applyAlignment="1" applyProtection="1">
      <alignment horizontal="center" vertical="center" wrapText="1"/>
    </xf>
    <xf numFmtId="0" fontId="18" fillId="15" borderId="2" xfId="0" applyFont="1" applyFill="1" applyBorder="1" applyAlignment="1" applyProtection="1">
      <alignment horizontal="center" vertical="center" wrapText="1"/>
      <protection locked="0"/>
    </xf>
    <xf numFmtId="0" fontId="18" fillId="15" borderId="4" xfId="0" applyFont="1" applyFill="1" applyBorder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 applyProtection="1">
      <alignment horizontal="center" vertical="center"/>
      <protection locked="0"/>
    </xf>
    <xf numFmtId="0" fontId="18" fillId="15" borderId="11" xfId="0" applyFont="1" applyFill="1" applyBorder="1" applyAlignment="1" applyProtection="1">
      <alignment horizontal="left" vertical="center"/>
      <protection locked="0"/>
    </xf>
    <xf numFmtId="0" fontId="18" fillId="15" borderId="12" xfId="0" applyFont="1" applyFill="1" applyBorder="1" applyAlignment="1" applyProtection="1">
      <alignment horizontal="left" vertical="center"/>
      <protection locked="0"/>
    </xf>
    <xf numFmtId="0" fontId="52" fillId="15" borderId="17" xfId="0" applyFont="1" applyFill="1" applyBorder="1" applyAlignment="1" applyProtection="1">
      <alignment horizontal="left" vertical="center"/>
      <protection locked="0"/>
    </xf>
    <xf numFmtId="0" fontId="52" fillId="15" borderId="18" xfId="0" applyFont="1" applyFill="1" applyBorder="1" applyAlignment="1" applyProtection="1">
      <alignment horizontal="left" vertical="center"/>
      <protection locked="0"/>
    </xf>
    <xf numFmtId="0" fontId="53" fillId="8" borderId="12" xfId="0" applyFont="1" applyFill="1" applyBorder="1" applyAlignment="1">
      <alignment horizontal="left" vertical="center" wrapText="1"/>
    </xf>
    <xf numFmtId="0" fontId="53" fillId="8" borderId="13" xfId="0" applyFont="1" applyFill="1" applyBorder="1" applyAlignment="1">
      <alignment horizontal="left" vertical="center" wrapText="1"/>
    </xf>
    <xf numFmtId="0" fontId="54" fillId="15" borderId="10" xfId="0" applyFont="1" applyFill="1" applyBorder="1" applyAlignment="1" applyProtection="1">
      <alignment horizontal="left" vertical="center" wrapText="1"/>
      <protection locked="0"/>
    </xf>
    <xf numFmtId="0" fontId="54" fillId="15" borderId="8" xfId="0" applyFont="1" applyFill="1" applyBorder="1" applyAlignment="1" applyProtection="1">
      <alignment horizontal="left" vertical="center" wrapText="1"/>
      <protection locked="0"/>
    </xf>
    <xf numFmtId="0" fontId="55" fillId="2" borderId="8" xfId="0" applyFont="1" applyFill="1" applyBorder="1" applyAlignment="1" applyProtection="1">
      <alignment horizontal="left" vertical="center" wrapText="1"/>
      <protection locked="0"/>
    </xf>
    <xf numFmtId="0" fontId="54" fillId="2" borderId="8" xfId="0" applyFont="1" applyFill="1" applyBorder="1" applyAlignment="1" applyProtection="1">
      <alignment horizontal="left" vertical="center" wrapText="1"/>
      <protection locked="0"/>
    </xf>
    <xf numFmtId="0" fontId="54" fillId="2" borderId="3" xfId="0" applyFont="1" applyFill="1" applyBorder="1" applyAlignment="1" applyProtection="1">
      <alignment horizontal="left" vertical="center" wrapText="1"/>
      <protection locked="0"/>
    </xf>
    <xf numFmtId="0" fontId="53" fillId="2" borderId="8" xfId="0" applyFont="1" applyFill="1" applyBorder="1" applyAlignment="1" applyProtection="1">
      <alignment horizontal="left" vertical="center" wrapText="1"/>
      <protection locked="0"/>
    </xf>
    <xf numFmtId="0" fontId="53" fillId="2" borderId="3" xfId="0" applyFont="1" applyFill="1" applyBorder="1" applyAlignment="1" applyProtection="1">
      <alignment horizontal="left" vertical="center" wrapText="1"/>
      <protection locked="0"/>
    </xf>
    <xf numFmtId="0" fontId="54" fillId="15" borderId="10" xfId="0" applyFont="1" applyFill="1" applyBorder="1" applyAlignment="1">
      <alignment horizontal="center" vertical="center" wrapText="1"/>
    </xf>
    <xf numFmtId="0" fontId="54" fillId="15" borderId="8" xfId="0" applyFont="1" applyFill="1" applyBorder="1" applyAlignment="1">
      <alignment horizontal="center" vertical="center" wrapText="1"/>
    </xf>
    <xf numFmtId="0" fontId="54" fillId="15" borderId="3" xfId="0" applyFont="1" applyFill="1" applyBorder="1" applyAlignment="1">
      <alignment horizontal="center" vertical="center" wrapText="1"/>
    </xf>
    <xf numFmtId="0" fontId="55" fillId="26" borderId="10" xfId="0" applyFont="1" applyFill="1" applyBorder="1" applyAlignment="1">
      <alignment horizontal="center" vertical="center" wrapText="1"/>
    </xf>
    <xf numFmtId="0" fontId="55" fillId="26" borderId="3" xfId="0" applyFont="1" applyFill="1" applyBorder="1" applyAlignment="1">
      <alignment horizontal="center" vertical="center" wrapText="1"/>
    </xf>
    <xf numFmtId="0" fontId="54" fillId="15" borderId="11" xfId="0" applyFont="1" applyFill="1" applyBorder="1" applyAlignment="1">
      <alignment horizontal="center" vertical="center" wrapText="1"/>
    </xf>
    <xf numFmtId="0" fontId="54" fillId="15" borderId="17" xfId="0" applyFont="1" applyFill="1" applyBorder="1" applyAlignment="1">
      <alignment horizontal="center" vertical="center" wrapText="1"/>
    </xf>
    <xf numFmtId="0" fontId="54" fillId="15" borderId="13" xfId="0" applyFont="1" applyFill="1" applyBorder="1" applyAlignment="1">
      <alignment horizontal="center" vertical="center" wrapText="1"/>
    </xf>
    <xf numFmtId="0" fontId="54" fillId="15" borderId="1" xfId="0" applyFont="1" applyFill="1" applyBorder="1" applyAlignment="1">
      <alignment horizontal="center" vertical="center" wrapText="1"/>
    </xf>
    <xf numFmtId="0" fontId="55" fillId="26" borderId="49" xfId="0" applyFont="1" applyFill="1" applyBorder="1" applyAlignment="1">
      <alignment horizontal="center" vertical="center" wrapText="1"/>
    </xf>
    <xf numFmtId="0" fontId="55" fillId="26" borderId="4" xfId="0" applyFont="1" applyFill="1" applyBorder="1" applyAlignment="1">
      <alignment horizontal="center" vertical="center" wrapText="1"/>
    </xf>
    <xf numFmtId="0" fontId="47" fillId="15" borderId="8" xfId="0" applyFont="1" applyFill="1" applyBorder="1" applyAlignment="1">
      <alignment horizontal="right" vertical="center" wrapText="1"/>
    </xf>
    <xf numFmtId="0" fontId="56" fillId="0" borderId="8" xfId="0" applyFont="1" applyBorder="1" applyAlignment="1">
      <alignment horizontal="center"/>
    </xf>
    <xf numFmtId="0" fontId="54" fillId="15" borderId="10" xfId="0" applyFont="1" applyFill="1" applyBorder="1" applyAlignment="1">
      <alignment horizontal="left" vertical="center" wrapText="1"/>
    </xf>
    <xf numFmtId="0" fontId="54" fillId="15" borderId="8" xfId="0" applyFont="1" applyFill="1" applyBorder="1" applyAlignment="1">
      <alignment horizontal="left" vertical="center" wrapText="1"/>
    </xf>
    <xf numFmtId="0" fontId="54" fillId="1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 applyProtection="1">
      <alignment horizontal="left" wrapText="1"/>
      <protection locked="0"/>
    </xf>
    <xf numFmtId="0" fontId="5" fillId="5" borderId="8" xfId="0" applyFont="1" applyFill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 wrapText="1"/>
      <protection locked="0"/>
    </xf>
    <xf numFmtId="0" fontId="57" fillId="5" borderId="11" xfId="0" applyFont="1" applyFill="1" applyBorder="1" applyAlignment="1">
      <alignment horizontal="justify" vertical="center" wrapText="1"/>
    </xf>
    <xf numFmtId="0" fontId="57" fillId="5" borderId="12" xfId="0" applyFont="1" applyFill="1" applyBorder="1" applyAlignment="1">
      <alignment horizontal="justify" vertical="center" wrapText="1"/>
    </xf>
    <xf numFmtId="0" fontId="57" fillId="5" borderId="13" xfId="0" applyFont="1" applyFill="1" applyBorder="1" applyAlignment="1">
      <alignment horizontal="justify" vertical="center" wrapText="1"/>
    </xf>
    <xf numFmtId="0" fontId="57" fillId="5" borderId="17" xfId="0" applyFont="1" applyFill="1" applyBorder="1" applyAlignment="1">
      <alignment horizontal="justify" vertical="center" wrapText="1"/>
    </xf>
    <xf numFmtId="0" fontId="57" fillId="5" borderId="18" xfId="0" applyFont="1" applyFill="1" applyBorder="1" applyAlignment="1">
      <alignment horizontal="justify" vertical="center" wrapText="1"/>
    </xf>
    <xf numFmtId="0" fontId="57" fillId="5" borderId="19" xfId="0" applyFont="1" applyFill="1" applyBorder="1" applyAlignment="1">
      <alignment horizontal="justify" vertical="center" wrapText="1"/>
    </xf>
    <xf numFmtId="0" fontId="69" fillId="0" borderId="0" xfId="0" applyNumberFormat="1" applyFont="1" applyAlignment="1">
      <alignment horizontal="left" vertical="top" wrapText="1" shrinkToFit="1" readingOrder="1"/>
    </xf>
    <xf numFmtId="0" fontId="70" fillId="0" borderId="0" xfId="0" applyNumberFormat="1" applyFont="1" applyAlignment="1">
      <alignment horizontal="left" vertical="top" wrapText="1" shrinkToFit="1" readingOrder="1"/>
    </xf>
    <xf numFmtId="0" fontId="67" fillId="28" borderId="0" xfId="0" applyNumberFormat="1" applyFont="1" applyFill="1" applyAlignment="1">
      <alignment horizontal="left" vertical="top" wrapText="1" shrinkToFit="1" readingOrder="1"/>
    </xf>
    <xf numFmtId="0" fontId="66" fillId="0" borderId="0" xfId="0" applyNumberFormat="1" applyFont="1" applyAlignment="1">
      <alignment horizontal="right" vertical="top" wrapText="1" shrinkToFit="1" readingOrder="1"/>
    </xf>
    <xf numFmtId="0" fontId="65" fillId="0" borderId="0" xfId="0" applyNumberFormat="1" applyFont="1" applyAlignment="1">
      <alignment horizontal="center" vertical="top" wrapText="1" shrinkToFit="1" readingOrder="1"/>
    </xf>
    <xf numFmtId="0" fontId="63" fillId="28" borderId="55" xfId="0" applyNumberFormat="1" applyFont="1" applyFill="1" applyBorder="1" applyAlignment="1">
      <alignment horizontal="center" vertical="center" wrapText="1" shrinkToFit="1" readingOrder="1"/>
    </xf>
    <xf numFmtId="49" fontId="62" fillId="27" borderId="0" xfId="0" applyNumberFormat="1" applyFont="1" applyFill="1" applyAlignment="1">
      <alignment horizontal="left" vertical="center" wrapText="1" shrinkToFit="1" readingOrder="1"/>
    </xf>
    <xf numFmtId="4" fontId="71" fillId="27" borderId="0" xfId="0" applyNumberFormat="1" applyFont="1" applyFill="1" applyAlignment="1">
      <alignment horizontal="right" vertical="center" wrapText="1" shrinkToFit="1" readingOrder="1"/>
    </xf>
    <xf numFmtId="0" fontId="64" fillId="0" borderId="0" xfId="0" applyNumberFormat="1" applyFont="1" applyAlignment="1">
      <alignment horizontal="center" vertical="top" wrapText="1" shrinkToFit="1" readingOrder="1"/>
    </xf>
    <xf numFmtId="0" fontId="63" fillId="28" borderId="58" xfId="0" applyNumberFormat="1" applyFont="1" applyFill="1" applyBorder="1" applyAlignment="1">
      <alignment horizontal="left" vertical="top" wrapText="1" shrinkToFit="1" readingOrder="1"/>
    </xf>
    <xf numFmtId="0" fontId="63" fillId="28" borderId="57" xfId="0" applyNumberFormat="1" applyFont="1" applyFill="1" applyBorder="1" applyAlignment="1">
      <alignment horizontal="center" vertical="center" wrapText="1" shrinkToFit="1" readingOrder="1"/>
    </xf>
    <xf numFmtId="49" fontId="62" fillId="0" borderId="0" xfId="0" applyNumberFormat="1" applyFont="1" applyAlignment="1">
      <alignment horizontal="left" vertical="center" wrapText="1" shrinkToFit="1" readingOrder="1"/>
    </xf>
    <xf numFmtId="4" fontId="71" fillId="0" borderId="0" xfId="0" applyNumberFormat="1" applyFont="1" applyAlignment="1">
      <alignment horizontal="right" vertical="center" wrapText="1" shrinkToFit="1" readingOrder="1"/>
    </xf>
    <xf numFmtId="49" fontId="61" fillId="27" borderId="0" xfId="0" applyNumberFormat="1" applyFont="1" applyFill="1" applyAlignment="1">
      <alignment horizontal="left" vertical="center" wrapText="1" shrinkToFit="1" readingOrder="1"/>
    </xf>
    <xf numFmtId="49" fontId="61" fillId="0" borderId="0" xfId="0" applyNumberFormat="1" applyFont="1" applyAlignment="1">
      <alignment horizontal="left" vertical="center" wrapText="1" shrinkToFit="1" readingOrder="1"/>
    </xf>
    <xf numFmtId="49" fontId="61" fillId="0" borderId="0" xfId="0" applyNumberFormat="1" applyFont="1" applyAlignment="1">
      <alignment horizontal="right" vertical="top" wrapText="1" shrinkToFit="1" readingOrder="1"/>
    </xf>
    <xf numFmtId="0" fontId="18" fillId="15" borderId="8" xfId="0" applyFont="1" applyFill="1" applyBorder="1" applyAlignment="1">
      <alignment horizontal="right" vertical="center" wrapText="1"/>
    </xf>
    <xf numFmtId="0" fontId="41" fillId="15" borderId="10" xfId="0" applyFont="1" applyFill="1" applyBorder="1" applyAlignment="1">
      <alignment horizontal="center" vertical="center" wrapText="1"/>
    </xf>
    <xf numFmtId="0" fontId="41" fillId="15" borderId="3" xfId="0" applyFont="1" applyFill="1" applyBorder="1" applyAlignment="1">
      <alignment horizontal="center" vertical="center" wrapText="1"/>
    </xf>
    <xf numFmtId="0" fontId="41" fillId="15" borderId="8" xfId="0" applyFont="1" applyFill="1" applyBorder="1" applyAlignment="1">
      <alignment horizontal="center" vertical="center" wrapText="1"/>
    </xf>
    <xf numFmtId="0" fontId="41" fillId="15" borderId="10" xfId="0" applyFont="1" applyFill="1" applyBorder="1" applyAlignment="1" applyProtection="1">
      <alignment horizontal="left" vertical="center" wrapText="1"/>
      <protection locked="0"/>
    </xf>
    <xf numFmtId="0" fontId="41" fillId="15" borderId="8" xfId="0" applyFont="1" applyFill="1" applyBorder="1" applyAlignment="1" applyProtection="1">
      <alignment horizontal="left" vertical="center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41" fillId="15" borderId="1" xfId="0" applyFont="1" applyFill="1" applyBorder="1" applyAlignment="1">
      <alignment horizontal="center" vertical="center" wrapText="1"/>
    </xf>
    <xf numFmtId="0" fontId="42" fillId="15" borderId="1" xfId="0" applyFont="1" applyFill="1" applyBorder="1" applyAlignment="1" applyProtection="1">
      <alignment horizontal="left" vertical="center"/>
      <protection locked="0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4" fillId="20" borderId="36" xfId="0" applyFont="1" applyFill="1" applyBorder="1" applyAlignment="1">
      <alignment horizontal="center" vertical="center"/>
    </xf>
    <xf numFmtId="9" fontId="14" fillId="20" borderId="36" xfId="3" applyFont="1" applyFill="1" applyBorder="1" applyAlignment="1">
      <alignment horizontal="center" vertical="center"/>
    </xf>
    <xf numFmtId="49" fontId="14" fillId="20" borderId="36" xfId="4" applyNumberFormat="1" applyFont="1" applyFill="1" applyBorder="1" applyAlignment="1">
      <alignment horizontal="center" vertical="center"/>
    </xf>
    <xf numFmtId="49" fontId="14" fillId="20" borderId="46" xfId="4" applyNumberFormat="1" applyFont="1" applyFill="1" applyBorder="1" applyAlignment="1">
      <alignment horizontal="center" vertical="center"/>
    </xf>
    <xf numFmtId="49" fontId="14" fillId="20" borderId="41" xfId="4" applyNumberFormat="1" applyFont="1" applyFill="1" applyBorder="1" applyAlignment="1">
      <alignment horizontal="center" vertical="center"/>
    </xf>
    <xf numFmtId="168" fontId="14" fillId="20" borderId="0" xfId="4" applyNumberFormat="1" applyFont="1" applyFill="1" applyBorder="1" applyAlignment="1">
      <alignment horizontal="center" vertical="center" wrapText="1"/>
    </xf>
    <xf numFmtId="49" fontId="14" fillId="20" borderId="46" xfId="4" applyNumberFormat="1" applyFont="1" applyFill="1" applyBorder="1" applyAlignment="1">
      <alignment horizontal="center" vertical="center" wrapText="1"/>
    </xf>
    <xf numFmtId="164" fontId="14" fillId="20" borderId="43" xfId="4" applyFont="1" applyFill="1" applyBorder="1" applyAlignment="1">
      <alignment horizontal="center" vertical="center"/>
    </xf>
    <xf numFmtId="164" fontId="14" fillId="20" borderId="47" xfId="4" applyFont="1" applyFill="1" applyBorder="1" applyAlignment="1">
      <alignment horizontal="center" vertical="center"/>
    </xf>
    <xf numFmtId="164" fontId="14" fillId="20" borderId="48" xfId="4" applyFont="1" applyFill="1" applyBorder="1" applyAlignment="1">
      <alignment horizontal="center" vertical="center"/>
    </xf>
    <xf numFmtId="164" fontId="14" fillId="20" borderId="37" xfId="4" applyFont="1" applyFill="1" applyBorder="1" applyAlignment="1">
      <alignment horizontal="center" vertical="center"/>
    </xf>
    <xf numFmtId="164" fontId="14" fillId="20" borderId="44" xfId="4" applyFont="1" applyFill="1" applyBorder="1" applyAlignment="1">
      <alignment horizontal="center" vertical="center"/>
    </xf>
    <xf numFmtId="164" fontId="14" fillId="20" borderId="45" xfId="4" applyFont="1" applyFill="1" applyBorder="1" applyAlignment="1">
      <alignment horizontal="center" vertical="center"/>
    </xf>
    <xf numFmtId="168" fontId="14" fillId="20" borderId="43" xfId="4" applyNumberFormat="1" applyFont="1" applyFill="1" applyBorder="1" applyAlignment="1">
      <alignment horizontal="center" vertical="center" wrapText="1"/>
    </xf>
    <xf numFmtId="168" fontId="14" fillId="20" borderId="37" xfId="4" applyNumberFormat="1" applyFont="1" applyFill="1" applyBorder="1" applyAlignment="1">
      <alignment horizontal="center" vertical="center" wrapText="1"/>
    </xf>
    <xf numFmtId="0" fontId="18" fillId="15" borderId="1" xfId="13" applyFont="1" applyFill="1" applyBorder="1" applyAlignment="1">
      <alignment horizontal="center" vertical="center" wrapText="1"/>
    </xf>
    <xf numFmtId="41" fontId="18" fillId="15" borderId="1" xfId="13" applyNumberFormat="1" applyFont="1" applyFill="1" applyBorder="1" applyAlignment="1">
      <alignment horizontal="center" vertical="center" wrapText="1"/>
    </xf>
    <xf numFmtId="41" fontId="18" fillId="15" borderId="49" xfId="13" applyNumberFormat="1" applyFont="1" applyFill="1" applyBorder="1" applyAlignment="1">
      <alignment horizontal="center" vertical="center" wrapText="1"/>
    </xf>
    <xf numFmtId="0" fontId="15" fillId="12" borderId="1" xfId="13" applyFont="1" applyFill="1" applyBorder="1" applyAlignment="1">
      <alignment horizontal="left" vertical="center" readingOrder="1"/>
    </xf>
    <xf numFmtId="0" fontId="15" fillId="13" borderId="1" xfId="13" applyFont="1" applyFill="1" applyBorder="1" applyAlignment="1">
      <alignment horizontal="left" vertical="center" wrapText="1" readingOrder="1"/>
    </xf>
    <xf numFmtId="0" fontId="15" fillId="14" borderId="1" xfId="13" applyFont="1" applyFill="1" applyBorder="1" applyAlignment="1">
      <alignment horizontal="left" vertical="center" wrapText="1" readingOrder="1"/>
    </xf>
    <xf numFmtId="0" fontId="18" fillId="15" borderId="1" xfId="13" applyFont="1" applyFill="1" applyBorder="1" applyAlignment="1">
      <alignment horizontal="right"/>
    </xf>
    <xf numFmtId="0" fontId="18" fillId="15" borderId="1" xfId="13" applyFont="1" applyFill="1" applyBorder="1" applyAlignment="1">
      <alignment horizontal="center" vertical="center" wrapText="1" readingOrder="1"/>
    </xf>
    <xf numFmtId="0" fontId="18" fillId="15" borderId="49" xfId="13" applyFont="1" applyFill="1" applyBorder="1" applyAlignment="1">
      <alignment horizontal="center" vertical="center" wrapText="1" readingOrder="1"/>
    </xf>
  </cellXfs>
  <cellStyles count="20">
    <cellStyle name="Bom" xfId="1" builtinId="26"/>
    <cellStyle name="Moeda 2" xfId="6" xr:uid="{00000000-0005-0000-0000-000001000000}"/>
    <cellStyle name="Moeda 2 2" xfId="16" xr:uid="{00000000-0005-0000-0000-000002000000}"/>
    <cellStyle name="Neutro" xfId="2" builtinId="28"/>
    <cellStyle name="Normal" xfId="0" builtinId="0"/>
    <cellStyle name="Normal 2" xfId="5" xr:uid="{00000000-0005-0000-0000-000005000000}"/>
    <cellStyle name="Normal 2 2" xfId="14" xr:uid="{00000000-0005-0000-0000-000006000000}"/>
    <cellStyle name="Normal 3" xfId="8" xr:uid="{00000000-0005-0000-0000-000007000000}"/>
    <cellStyle name="Normal 3 2" xfId="9" xr:uid="{00000000-0005-0000-0000-000008000000}"/>
    <cellStyle name="Normal 3 2 2" xfId="13" xr:uid="{00000000-0005-0000-0000-000009000000}"/>
    <cellStyle name="Porcentagem" xfId="3" builtinId="5"/>
    <cellStyle name="Porcentagem 2" xfId="12" xr:uid="{00000000-0005-0000-0000-00000B000000}"/>
    <cellStyle name="Separador de milhares 2" xfId="15" xr:uid="{00000000-0005-0000-0000-00000C000000}"/>
    <cellStyle name="Vírgula" xfId="4" builtinId="3"/>
    <cellStyle name="Vírgula 2" xfId="7" xr:uid="{00000000-0005-0000-0000-00000E000000}"/>
    <cellStyle name="Vírgula 2 2" xfId="11" xr:uid="{00000000-0005-0000-0000-00000F000000}"/>
    <cellStyle name="Vírgula 2 2 2" xfId="19" xr:uid="{00000000-0005-0000-0000-000010000000}"/>
    <cellStyle name="Vírgula 2 3" xfId="17" xr:uid="{00000000-0005-0000-0000-000011000000}"/>
    <cellStyle name="Vírgula 4" xfId="10" xr:uid="{00000000-0005-0000-0000-000012000000}"/>
    <cellStyle name="Vírgula 4 2" xfId="18" xr:uid="{00000000-0005-0000-0000-000013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4F0F0"/>
      <color rgb="FF006871"/>
      <color rgb="FF5E9AA6"/>
      <color rgb="FF5E9AC4"/>
      <color rgb="FFDEEBF6"/>
      <color rgb="FFD1E3F3"/>
      <color rgb="FFFFFADE"/>
      <color rgb="FFFFF7E1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2022.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61547</xdr:colOff>
      <xdr:row>2</xdr:row>
      <xdr:rowOff>1233854</xdr:rowOff>
    </xdr:from>
    <xdr:to>
      <xdr:col>9</xdr:col>
      <xdr:colOff>348762</xdr:colOff>
      <xdr:row>2</xdr:row>
      <xdr:rowOff>2816469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99947" y="2097454"/>
          <a:ext cx="3335215" cy="15826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/>
            <a:t>Alterado</a:t>
          </a:r>
          <a:r>
            <a:rPr lang="pt-BR" sz="1600" baseline="0"/>
            <a:t> o objetivo:</a:t>
          </a:r>
        </a:p>
        <a:p>
          <a:pPr algn="ctr"/>
          <a:endParaRPr lang="pt-BR" sz="1600" baseline="0"/>
        </a:p>
        <a:p>
          <a:pPr algn="ctr"/>
          <a:r>
            <a:rPr lang="pt-BR" sz="1600" baseline="0"/>
            <a:t>Estimular o conhecimento</a:t>
          </a:r>
        </a:p>
        <a:p>
          <a:pPr algn="ctr"/>
          <a:r>
            <a:rPr lang="pt-BR" sz="1600" baseline="0"/>
            <a:t>para</a:t>
          </a:r>
        </a:p>
        <a:p>
          <a:pPr algn="ctr"/>
          <a:r>
            <a:rPr lang="pt-BR" sz="1600" baseline="0"/>
            <a:t>Desenvolver competências</a:t>
          </a:r>
          <a:endParaRPr lang="pt-BR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10</xdr:col>
          <xdr:colOff>581025</xdr:colOff>
          <xdr:row>2</xdr:row>
          <xdr:rowOff>4800600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1666875" cy="10668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7315200" y="0"/>
          <a:ext cx="1666875" cy="10668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7</xdr:row>
      <xdr:rowOff>0</xdr:rowOff>
    </xdr:from>
    <xdr:to>
      <xdr:col>14</xdr:col>
      <xdr:colOff>28575</xdr:colOff>
      <xdr:row>7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1333500"/>
          <a:ext cx="8562975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oneCellAnchor>
    <xdr:from>
      <xdr:col>12</xdr:col>
      <xdr:colOff>0</xdr:colOff>
      <xdr:row>0</xdr:row>
      <xdr:rowOff>0</xdr:rowOff>
    </xdr:from>
    <xdr:ext cx="1666875" cy="106680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8658225" y="0"/>
          <a:ext cx="1666875" cy="10668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7</xdr:row>
      <xdr:rowOff>0</xdr:rowOff>
    </xdr:from>
    <xdr:to>
      <xdr:col>14</xdr:col>
      <xdr:colOff>28575</xdr:colOff>
      <xdr:row>7</xdr:row>
      <xdr:rowOff>76200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0" y="1162050"/>
          <a:ext cx="10325100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oneCellAnchor>
    <xdr:from>
      <xdr:col>12</xdr:col>
      <xdr:colOff>0</xdr:colOff>
      <xdr:row>0</xdr:row>
      <xdr:rowOff>0</xdr:rowOff>
    </xdr:from>
    <xdr:ext cx="1666875" cy="1066800"/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8658225" y="0"/>
          <a:ext cx="1666875" cy="10668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7</xdr:row>
      <xdr:rowOff>0</xdr:rowOff>
    </xdr:from>
    <xdr:to>
      <xdr:col>14</xdr:col>
      <xdr:colOff>28575</xdr:colOff>
      <xdr:row>7</xdr:row>
      <xdr:rowOff>76200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0" y="1162050"/>
          <a:ext cx="10325100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riciagomo\Desktop\Tabelas%20Diretrizes%20-%20Repro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showGridLines="0" zoomScale="160" zoomScaleNormal="160" workbookViewId="0">
      <selection activeCell="E204" sqref="E204"/>
    </sheetView>
  </sheetViews>
  <sheetFormatPr defaultColWidth="0" defaultRowHeight="15.75" zeroHeight="1" x14ac:dyDescent="0.25"/>
  <cols>
    <col min="1" max="1" width="126.28515625" style="6" customWidth="1"/>
    <col min="2" max="2" width="9.140625" style="4" hidden="1" customWidth="1"/>
    <col min="3" max="25" width="0" style="4" hidden="1" customWidth="1"/>
    <col min="26" max="16384" width="9.140625" style="4" hidden="1"/>
  </cols>
  <sheetData>
    <row r="1" spans="1:17" ht="16.5" thickBot="1" x14ac:dyDescent="0.3">
      <c r="A1" s="17" t="s">
        <v>224</v>
      </c>
    </row>
    <row r="2" spans="1:17" ht="39.75" customHeight="1" thickBot="1" x14ac:dyDescent="0.3">
      <c r="A2" s="18" t="s">
        <v>225</v>
      </c>
    </row>
    <row r="3" spans="1:17" ht="39.75" customHeight="1" thickBot="1" x14ac:dyDescent="0.3">
      <c r="A3" s="71" t="s">
        <v>389</v>
      </c>
    </row>
    <row r="4" spans="1:17" ht="39.75" customHeight="1" thickBot="1" x14ac:dyDescent="0.3">
      <c r="A4" s="19" t="s">
        <v>400</v>
      </c>
    </row>
    <row r="5" spans="1:17" ht="39.75" customHeight="1" thickBot="1" x14ac:dyDescent="0.3">
      <c r="A5" s="19" t="s">
        <v>401</v>
      </c>
    </row>
    <row r="6" spans="1:17" ht="39.75" customHeight="1" thickBot="1" x14ac:dyDescent="0.3">
      <c r="A6" s="19" t="s">
        <v>402</v>
      </c>
    </row>
    <row r="7" spans="1:17" ht="39.75" customHeight="1" thickBot="1" x14ac:dyDescent="0.3">
      <c r="A7" s="19" t="s">
        <v>403</v>
      </c>
    </row>
    <row r="8" spans="1:17" ht="57.75" customHeight="1" thickBot="1" x14ac:dyDescent="0.3">
      <c r="A8" s="18" t="s">
        <v>404</v>
      </c>
    </row>
    <row r="9" spans="1:17" ht="36" customHeight="1" thickBot="1" x14ac:dyDescent="0.3">
      <c r="A9" s="20" t="s">
        <v>405</v>
      </c>
    </row>
    <row r="10" spans="1:17" ht="42" customHeight="1" thickBot="1" x14ac:dyDescent="0.3">
      <c r="A10" s="18" t="s">
        <v>406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</sheetData>
  <sheetProtection algorithmName="SHA-512" hashValue="AhDW+6duKyjw0CdaT7TgQvZBoVcI1oM06/dvscv7QvX+i5hyn92EYecOsh28SVljFKScaYlengaZpCN7y1bvpg==" saltValue="tA4xXdcw4/094EWa1YIrH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W34"/>
  <sheetViews>
    <sheetView topLeftCell="E1" zoomScale="150" zoomScaleNormal="150" workbookViewId="0">
      <selection activeCell="I13" sqref="I13"/>
    </sheetView>
  </sheetViews>
  <sheetFormatPr defaultRowHeight="15.75" x14ac:dyDescent="0.25"/>
  <cols>
    <col min="1" max="1" width="48.7109375" style="9" bestFit="1" customWidth="1"/>
    <col min="2" max="2" width="42.5703125" style="9" bestFit="1" customWidth="1"/>
    <col min="3" max="3" width="46.28515625" style="9" bestFit="1" customWidth="1"/>
    <col min="4" max="4" width="127.85546875" style="9" customWidth="1"/>
    <col min="5" max="8" width="9.140625" style="9"/>
    <col min="9" max="9" width="13.5703125" style="9" bestFit="1" customWidth="1"/>
    <col min="10" max="49" width="9.140625" style="9"/>
  </cols>
  <sheetData>
    <row r="1" spans="1:8" x14ac:dyDescent="0.25">
      <c r="A1" s="9" t="s">
        <v>91</v>
      </c>
      <c r="B1" s="10" t="s">
        <v>62</v>
      </c>
      <c r="C1" s="10" t="s">
        <v>139</v>
      </c>
      <c r="D1" s="9" t="s">
        <v>29</v>
      </c>
      <c r="E1" s="9" t="s">
        <v>287</v>
      </c>
      <c r="G1" s="9" t="s">
        <v>349</v>
      </c>
      <c r="H1" s="9" t="s">
        <v>593</v>
      </c>
    </row>
    <row r="2" spans="1:8" x14ac:dyDescent="0.25">
      <c r="A2" s="9" t="s">
        <v>99</v>
      </c>
      <c r="B2" s="10" t="s">
        <v>41</v>
      </c>
      <c r="C2" s="10" t="s">
        <v>140</v>
      </c>
      <c r="D2" s="9" t="s">
        <v>109</v>
      </c>
      <c r="E2" s="9" t="s">
        <v>288</v>
      </c>
      <c r="G2" s="9" t="s">
        <v>347</v>
      </c>
      <c r="H2" s="9" t="s">
        <v>589</v>
      </c>
    </row>
    <row r="3" spans="1:8" x14ac:dyDescent="0.25">
      <c r="A3" s="9" t="s">
        <v>100</v>
      </c>
      <c r="B3" s="8" t="s">
        <v>36</v>
      </c>
      <c r="C3" s="10" t="s">
        <v>110</v>
      </c>
      <c r="D3" s="9" t="s">
        <v>25</v>
      </c>
      <c r="E3" s="9" t="s">
        <v>289</v>
      </c>
      <c r="G3" s="9" t="s">
        <v>345</v>
      </c>
      <c r="H3" s="9" t="s">
        <v>590</v>
      </c>
    </row>
    <row r="4" spans="1:8" x14ac:dyDescent="0.25">
      <c r="A4" s="9" t="s">
        <v>101</v>
      </c>
      <c r="B4" s="11" t="s">
        <v>131</v>
      </c>
      <c r="C4" s="10" t="s">
        <v>111</v>
      </c>
      <c r="D4" s="9" t="s">
        <v>28</v>
      </c>
      <c r="F4" s="9" t="s">
        <v>290</v>
      </c>
      <c r="G4" s="9" t="s">
        <v>343</v>
      </c>
      <c r="H4" s="9" t="s">
        <v>591</v>
      </c>
    </row>
    <row r="5" spans="1:8" x14ac:dyDescent="0.25">
      <c r="A5" s="9" t="s">
        <v>92</v>
      </c>
      <c r="B5" s="11" t="s">
        <v>132</v>
      </c>
      <c r="C5" s="10" t="s">
        <v>112</v>
      </c>
      <c r="D5" s="9" t="s">
        <v>31</v>
      </c>
      <c r="F5" s="9" t="s">
        <v>291</v>
      </c>
      <c r="G5" s="9" t="s">
        <v>341</v>
      </c>
      <c r="H5" s="9" t="s">
        <v>592</v>
      </c>
    </row>
    <row r="6" spans="1:8" x14ac:dyDescent="0.25">
      <c r="A6" s="9" t="s">
        <v>102</v>
      </c>
      <c r="B6" s="11" t="s">
        <v>133</v>
      </c>
      <c r="C6" s="10" t="s">
        <v>113</v>
      </c>
      <c r="D6" s="9" t="s">
        <v>30</v>
      </c>
      <c r="F6" s="9" t="s">
        <v>292</v>
      </c>
      <c r="G6" s="9" t="s">
        <v>339</v>
      </c>
    </row>
    <row r="7" spans="1:8" x14ac:dyDescent="0.25">
      <c r="A7" s="9" t="s">
        <v>232</v>
      </c>
      <c r="B7" s="11" t="s">
        <v>134</v>
      </c>
      <c r="C7" s="10" t="s">
        <v>114</v>
      </c>
      <c r="D7" s="9" t="s">
        <v>115</v>
      </c>
      <c r="G7" s="9" t="s">
        <v>338</v>
      </c>
    </row>
    <row r="8" spans="1:8" x14ac:dyDescent="0.25">
      <c r="A8" s="9" t="s">
        <v>93</v>
      </c>
      <c r="B8" s="11" t="s">
        <v>135</v>
      </c>
      <c r="C8" s="10" t="s">
        <v>116</v>
      </c>
      <c r="D8" s="9" t="s">
        <v>22</v>
      </c>
      <c r="G8" s="9" t="s">
        <v>337</v>
      </c>
    </row>
    <row r="9" spans="1:8" x14ac:dyDescent="0.25">
      <c r="A9" s="9" t="s">
        <v>103</v>
      </c>
      <c r="B9" s="11" t="s">
        <v>143</v>
      </c>
      <c r="C9" s="10" t="s">
        <v>117</v>
      </c>
      <c r="D9" s="9" t="s">
        <v>27</v>
      </c>
      <c r="G9" s="9" t="s">
        <v>335</v>
      </c>
    </row>
    <row r="10" spans="1:8" x14ac:dyDescent="0.25">
      <c r="A10" s="9" t="s">
        <v>94</v>
      </c>
      <c r="B10" s="10" t="s">
        <v>38</v>
      </c>
      <c r="C10" s="10" t="s">
        <v>118</v>
      </c>
      <c r="D10" s="9" t="s">
        <v>142</v>
      </c>
      <c r="G10" s="9" t="s">
        <v>334</v>
      </c>
    </row>
    <row r="11" spans="1:8" x14ac:dyDescent="0.25">
      <c r="A11" s="9" t="s">
        <v>95</v>
      </c>
      <c r="B11" s="10" t="s">
        <v>2</v>
      </c>
      <c r="C11" s="10" t="s">
        <v>119</v>
      </c>
      <c r="D11" s="9" t="s">
        <v>19</v>
      </c>
      <c r="G11" s="9" t="s">
        <v>331</v>
      </c>
    </row>
    <row r="12" spans="1:8" x14ac:dyDescent="0.25">
      <c r="A12" s="9" t="s">
        <v>104</v>
      </c>
      <c r="C12" s="10" t="s">
        <v>120</v>
      </c>
      <c r="D12" s="9" t="s">
        <v>121</v>
      </c>
      <c r="G12" s="9" t="s">
        <v>329</v>
      </c>
    </row>
    <row r="13" spans="1:8" x14ac:dyDescent="0.25">
      <c r="A13" s="9" t="s">
        <v>105</v>
      </c>
      <c r="B13" s="8"/>
      <c r="C13" s="10" t="s">
        <v>122</v>
      </c>
      <c r="D13" s="9" t="s">
        <v>26</v>
      </c>
      <c r="G13" s="9" t="s">
        <v>327</v>
      </c>
    </row>
    <row r="14" spans="1:8" x14ac:dyDescent="0.25">
      <c r="A14" s="9" t="s">
        <v>96</v>
      </c>
      <c r="B14" s="8"/>
      <c r="C14" s="10" t="s">
        <v>123</v>
      </c>
      <c r="D14" s="9" t="s">
        <v>32</v>
      </c>
      <c r="G14" s="9" t="s">
        <v>325</v>
      </c>
    </row>
    <row r="15" spans="1:8" x14ac:dyDescent="0.25">
      <c r="A15" s="9" t="s">
        <v>106</v>
      </c>
      <c r="B15" s="8"/>
      <c r="C15" s="10" t="s">
        <v>124</v>
      </c>
      <c r="D15" s="9" t="s">
        <v>20</v>
      </c>
      <c r="G15" s="9" t="s">
        <v>324</v>
      </c>
    </row>
    <row r="16" spans="1:8" x14ac:dyDescent="0.25">
      <c r="A16" s="9" t="s">
        <v>97</v>
      </c>
      <c r="B16" s="8"/>
      <c r="C16" s="10" t="s">
        <v>125</v>
      </c>
      <c r="D16" s="9" t="s">
        <v>141</v>
      </c>
      <c r="G16" s="9" t="s">
        <v>289</v>
      </c>
    </row>
    <row r="17" spans="1:7" x14ac:dyDescent="0.25">
      <c r="A17" s="9" t="s">
        <v>98</v>
      </c>
      <c r="B17" s="8"/>
      <c r="C17" s="10" t="s">
        <v>126</v>
      </c>
      <c r="G17" s="9" t="s">
        <v>323</v>
      </c>
    </row>
    <row r="18" spans="1:7" x14ac:dyDescent="0.25">
      <c r="B18" s="8"/>
      <c r="C18" s="10" t="s">
        <v>127</v>
      </c>
      <c r="G18" s="9" t="s">
        <v>322</v>
      </c>
    </row>
    <row r="19" spans="1:7" x14ac:dyDescent="0.25">
      <c r="C19" s="10" t="s">
        <v>128</v>
      </c>
      <c r="G19" s="9" t="s">
        <v>321</v>
      </c>
    </row>
    <row r="20" spans="1:7" x14ac:dyDescent="0.25">
      <c r="C20" s="10" t="s">
        <v>129</v>
      </c>
      <c r="G20" s="9" t="s">
        <v>320</v>
      </c>
    </row>
    <row r="21" spans="1:7" x14ac:dyDescent="0.25">
      <c r="C21" s="10" t="s">
        <v>130</v>
      </c>
      <c r="G21" s="9" t="s">
        <v>319</v>
      </c>
    </row>
    <row r="22" spans="1:7" x14ac:dyDescent="0.25">
      <c r="G22" s="9" t="s">
        <v>318</v>
      </c>
    </row>
    <row r="23" spans="1:7" x14ac:dyDescent="0.25">
      <c r="G23" s="9" t="s">
        <v>317</v>
      </c>
    </row>
    <row r="24" spans="1:7" x14ac:dyDescent="0.25">
      <c r="G24" s="9" t="s">
        <v>316</v>
      </c>
    </row>
    <row r="25" spans="1:7" x14ac:dyDescent="0.25">
      <c r="G25" s="9" t="s">
        <v>315</v>
      </c>
    </row>
    <row r="26" spans="1:7" x14ac:dyDescent="0.25">
      <c r="G26" s="9" t="s">
        <v>314</v>
      </c>
    </row>
    <row r="27" spans="1:7" x14ac:dyDescent="0.25">
      <c r="G27" s="9" t="s">
        <v>313</v>
      </c>
    </row>
    <row r="28" spans="1:7" x14ac:dyDescent="0.25">
      <c r="G28" s="9" t="s">
        <v>412</v>
      </c>
    </row>
    <row r="34" spans="1:1" x14ac:dyDescent="0.25">
      <c r="A34" s="9" t="s">
        <v>399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F209"/>
  <sheetViews>
    <sheetView topLeftCell="A43" zoomScale="140" zoomScaleNormal="140" workbookViewId="0">
      <selection activeCell="E68" sqref="E68"/>
    </sheetView>
  </sheetViews>
  <sheetFormatPr defaultRowHeight="15" x14ac:dyDescent="0.25"/>
  <cols>
    <col min="1" max="1" width="8.85546875" bestFit="1" customWidth="1"/>
    <col min="2" max="2" width="63.85546875" customWidth="1"/>
    <col min="3" max="3" width="14.5703125" customWidth="1"/>
    <col min="4" max="4" width="21.5703125" customWidth="1"/>
    <col min="5" max="5" width="24.7109375" bestFit="1" customWidth="1"/>
    <col min="6" max="6" width="14.42578125" bestFit="1" customWidth="1"/>
  </cols>
  <sheetData>
    <row r="1" spans="1:6" x14ac:dyDescent="0.25">
      <c r="A1" s="578" t="s">
        <v>548</v>
      </c>
      <c r="B1" s="578"/>
      <c r="C1" s="578"/>
      <c r="D1" s="578"/>
      <c r="E1" s="578"/>
      <c r="F1" s="578"/>
    </row>
    <row r="2" spans="1:6" ht="15.75" x14ac:dyDescent="0.25">
      <c r="A2" s="573" t="s">
        <v>419</v>
      </c>
      <c r="B2" s="574"/>
      <c r="C2" s="575" t="s">
        <v>420</v>
      </c>
      <c r="D2" s="575"/>
      <c r="E2" s="575"/>
      <c r="F2" s="575"/>
    </row>
    <row r="3" spans="1:6" ht="15.75" x14ac:dyDescent="0.25">
      <c r="A3" s="574" t="s">
        <v>34</v>
      </c>
      <c r="B3" s="574"/>
      <c r="C3" s="576" t="s">
        <v>32</v>
      </c>
      <c r="D3" s="576"/>
      <c r="E3" s="576"/>
      <c r="F3" s="576"/>
    </row>
    <row r="4" spans="1:6" ht="15.75" x14ac:dyDescent="0.25">
      <c r="A4" s="183"/>
      <c r="B4" s="183"/>
      <c r="C4" s="183"/>
      <c r="D4" s="184"/>
      <c r="E4" s="184"/>
      <c r="F4" s="185"/>
    </row>
    <row r="5" spans="1:6" ht="15.75" customHeight="1" x14ac:dyDescent="0.25">
      <c r="A5" s="570" t="s">
        <v>413</v>
      </c>
      <c r="B5" s="572"/>
      <c r="C5" s="572"/>
      <c r="D5" s="570" t="s">
        <v>414</v>
      </c>
      <c r="E5" s="572"/>
      <c r="F5" s="571"/>
    </row>
    <row r="6" spans="1:6" ht="15.75" customHeight="1" x14ac:dyDescent="0.25">
      <c r="A6" s="570" t="s">
        <v>415</v>
      </c>
      <c r="B6" s="572"/>
      <c r="C6" s="571"/>
      <c r="D6" s="570" t="s">
        <v>495</v>
      </c>
      <c r="E6" s="571"/>
      <c r="F6" s="577" t="s">
        <v>497</v>
      </c>
    </row>
    <row r="7" spans="1:6" ht="63" x14ac:dyDescent="0.25">
      <c r="A7" s="186" t="s">
        <v>416</v>
      </c>
      <c r="B7" s="186" t="s">
        <v>417</v>
      </c>
      <c r="C7" s="187" t="s">
        <v>418</v>
      </c>
      <c r="D7" s="186" t="s">
        <v>494</v>
      </c>
      <c r="E7" s="186" t="s">
        <v>496</v>
      </c>
      <c r="F7" s="577"/>
    </row>
    <row r="8" spans="1:6" ht="15.75" x14ac:dyDescent="0.25">
      <c r="A8" s="188">
        <v>12</v>
      </c>
      <c r="B8" s="188" t="s">
        <v>421</v>
      </c>
      <c r="C8" s="12"/>
      <c r="D8" s="189">
        <v>49966.8</v>
      </c>
      <c r="E8" s="190">
        <v>53000</v>
      </c>
      <c r="F8" s="191">
        <f t="shared" ref="F8:F40" si="0">IFERROR(E8/D8*100-100,0)</f>
        <v>6.0704307660286503</v>
      </c>
    </row>
    <row r="9" spans="1:6" ht="31.5" x14ac:dyDescent="0.25">
      <c r="A9" s="188">
        <v>48</v>
      </c>
      <c r="B9" s="188" t="s">
        <v>546</v>
      </c>
      <c r="C9" s="12"/>
      <c r="D9" s="189">
        <v>26600</v>
      </c>
      <c r="E9" s="190">
        <v>27000</v>
      </c>
      <c r="F9" s="191">
        <f t="shared" si="0"/>
        <v>1.5037593984962569</v>
      </c>
    </row>
    <row r="10" spans="1:6" ht="31.5" x14ac:dyDescent="0.25">
      <c r="A10" s="188">
        <v>12</v>
      </c>
      <c r="B10" s="188" t="s">
        <v>422</v>
      </c>
      <c r="C10" s="12"/>
      <c r="D10" s="189">
        <v>3100</v>
      </c>
      <c r="E10" s="190">
        <v>3100</v>
      </c>
      <c r="F10" s="191">
        <f t="shared" si="0"/>
        <v>0</v>
      </c>
    </row>
    <row r="11" spans="1:6" ht="31.5" x14ac:dyDescent="0.25">
      <c r="A11" s="188">
        <v>12</v>
      </c>
      <c r="B11" s="188" t="s">
        <v>550</v>
      </c>
      <c r="C11" s="12"/>
      <c r="D11" s="189">
        <v>33000</v>
      </c>
      <c r="E11" s="190">
        <v>34000</v>
      </c>
      <c r="F11" s="191">
        <f t="shared" si="0"/>
        <v>3.0303030303030312</v>
      </c>
    </row>
    <row r="12" spans="1:6" ht="63" x14ac:dyDescent="0.25">
      <c r="A12" s="188">
        <v>12</v>
      </c>
      <c r="B12" s="188" t="s">
        <v>423</v>
      </c>
      <c r="C12" s="12"/>
      <c r="D12" s="189">
        <v>2138.6999999999998</v>
      </c>
      <c r="E12" s="190">
        <v>2400</v>
      </c>
      <c r="F12" s="191">
        <f t="shared" si="0"/>
        <v>12.217702342544555</v>
      </c>
    </row>
    <row r="13" spans="1:6" s="4" customFormat="1" ht="15.75" x14ac:dyDescent="0.25">
      <c r="A13" s="188">
        <v>12</v>
      </c>
      <c r="B13" s="188" t="s">
        <v>547</v>
      </c>
      <c r="C13" s="12"/>
      <c r="D13" s="189">
        <v>0</v>
      </c>
      <c r="E13" s="190">
        <v>1000</v>
      </c>
      <c r="F13" s="191">
        <f t="shared" si="0"/>
        <v>0</v>
      </c>
    </row>
    <row r="14" spans="1:6" ht="31.5" x14ac:dyDescent="0.25">
      <c r="A14" s="188">
        <v>24</v>
      </c>
      <c r="B14" s="188" t="s">
        <v>551</v>
      </c>
      <c r="C14" s="12"/>
      <c r="D14" s="189">
        <v>13399.98</v>
      </c>
      <c r="E14" s="190">
        <f>1000*24</f>
        <v>24000</v>
      </c>
      <c r="F14" s="191">
        <f t="shared" si="0"/>
        <v>79.104744932455134</v>
      </c>
    </row>
    <row r="15" spans="1:6" ht="15.75" x14ac:dyDescent="0.25">
      <c r="A15" s="188">
        <v>12</v>
      </c>
      <c r="B15" s="188" t="s">
        <v>424</v>
      </c>
      <c r="C15" s="12"/>
      <c r="D15" s="189">
        <v>23007.26</v>
      </c>
      <c r="E15" s="190">
        <v>22000</v>
      </c>
      <c r="F15" s="191">
        <f t="shared" si="0"/>
        <v>-4.378009376170823</v>
      </c>
    </row>
    <row r="16" spans="1:6" ht="15.75" x14ac:dyDescent="0.25">
      <c r="A16" s="188">
        <v>12</v>
      </c>
      <c r="B16" s="188" t="s">
        <v>425</v>
      </c>
      <c r="C16" s="12"/>
      <c r="D16" s="189">
        <v>461.3</v>
      </c>
      <c r="E16" s="190">
        <v>1000</v>
      </c>
      <c r="F16" s="191">
        <f t="shared" si="0"/>
        <v>116.77866897897243</v>
      </c>
    </row>
    <row r="17" spans="1:6" ht="47.25" x14ac:dyDescent="0.25">
      <c r="A17" s="188">
        <v>1</v>
      </c>
      <c r="B17" s="188" t="s">
        <v>552</v>
      </c>
      <c r="C17" s="12"/>
      <c r="D17" s="189">
        <v>2000</v>
      </c>
      <c r="E17" s="190">
        <v>1700</v>
      </c>
      <c r="F17" s="191">
        <f t="shared" si="0"/>
        <v>-15</v>
      </c>
    </row>
    <row r="18" spans="1:6" ht="63" x14ac:dyDescent="0.25">
      <c r="A18" s="188">
        <v>12</v>
      </c>
      <c r="B18" s="188" t="s">
        <v>549</v>
      </c>
      <c r="C18" s="12"/>
      <c r="D18" s="192">
        <v>321510</v>
      </c>
      <c r="E18" s="190">
        <v>372960</v>
      </c>
      <c r="F18" s="191">
        <f t="shared" si="0"/>
        <v>16.002612671456575</v>
      </c>
    </row>
    <row r="19" spans="1:6" ht="63" x14ac:dyDescent="0.25">
      <c r="A19" s="188">
        <v>12</v>
      </c>
      <c r="B19" s="188" t="s">
        <v>553</v>
      </c>
      <c r="C19" s="12"/>
      <c r="D19" s="192">
        <v>31200</v>
      </c>
      <c r="E19" s="190">
        <v>36000</v>
      </c>
      <c r="F19" s="191">
        <f t="shared" si="0"/>
        <v>15.384615384615373</v>
      </c>
    </row>
    <row r="20" spans="1:6" ht="15.75" x14ac:dyDescent="0.25">
      <c r="A20" s="188">
        <v>12</v>
      </c>
      <c r="B20" s="188" t="s">
        <v>426</v>
      </c>
      <c r="C20" s="12"/>
      <c r="D20" s="192">
        <v>300</v>
      </c>
      <c r="E20" s="190">
        <v>900</v>
      </c>
      <c r="F20" s="191">
        <f t="shared" si="0"/>
        <v>200</v>
      </c>
    </row>
    <row r="21" spans="1:6" ht="15.75" x14ac:dyDescent="0.25">
      <c r="A21" s="188">
        <v>12</v>
      </c>
      <c r="B21" s="188" t="s">
        <v>427</v>
      </c>
      <c r="C21" s="12"/>
      <c r="D21" s="189">
        <v>4000</v>
      </c>
      <c r="E21" s="190">
        <v>3000</v>
      </c>
      <c r="F21" s="191">
        <f t="shared" si="0"/>
        <v>-25</v>
      </c>
    </row>
    <row r="22" spans="1:6" ht="47.25" x14ac:dyDescent="0.25">
      <c r="A22" s="188">
        <v>3</v>
      </c>
      <c r="B22" s="188" t="s">
        <v>554</v>
      </c>
      <c r="C22" s="12"/>
      <c r="D22" s="189">
        <v>6357.92</v>
      </c>
      <c r="E22" s="190">
        <v>9000</v>
      </c>
      <c r="F22" s="191">
        <f t="shared" si="0"/>
        <v>41.555728917633445</v>
      </c>
    </row>
    <row r="23" spans="1:6" ht="47.25" x14ac:dyDescent="0.25">
      <c r="A23" s="188">
        <v>1</v>
      </c>
      <c r="B23" s="188" t="s">
        <v>428</v>
      </c>
      <c r="C23" s="12"/>
      <c r="D23" s="189">
        <v>1200</v>
      </c>
      <c r="E23" s="190">
        <v>1600</v>
      </c>
      <c r="F23" s="191">
        <f t="shared" si="0"/>
        <v>33.333333333333314</v>
      </c>
    </row>
    <row r="24" spans="1:6" ht="15.75" x14ac:dyDescent="0.25">
      <c r="A24" s="188">
        <v>1</v>
      </c>
      <c r="B24" s="188" t="s">
        <v>429</v>
      </c>
      <c r="C24" s="12"/>
      <c r="D24" s="189">
        <v>600</v>
      </c>
      <c r="E24" s="190">
        <v>1040</v>
      </c>
      <c r="F24" s="191">
        <f t="shared" si="0"/>
        <v>73.333333333333343</v>
      </c>
    </row>
    <row r="25" spans="1:6" ht="31.5" x14ac:dyDescent="0.25">
      <c r="A25" s="188">
        <v>1</v>
      </c>
      <c r="B25" s="188" t="s">
        <v>430</v>
      </c>
      <c r="C25" s="12"/>
      <c r="D25" s="189">
        <v>7000</v>
      </c>
      <c r="E25" s="190">
        <v>6600</v>
      </c>
      <c r="F25" s="191">
        <f t="shared" si="0"/>
        <v>-5.7142857142857224</v>
      </c>
    </row>
    <row r="26" spans="1:6" ht="63" x14ac:dyDescent="0.25">
      <c r="A26" s="188">
        <v>1</v>
      </c>
      <c r="B26" s="188" t="s">
        <v>431</v>
      </c>
      <c r="C26" s="12"/>
      <c r="D26" s="189">
        <v>3800</v>
      </c>
      <c r="E26" s="190">
        <v>3600</v>
      </c>
      <c r="F26" s="191">
        <f t="shared" si="0"/>
        <v>-5.2631578947368496</v>
      </c>
    </row>
    <row r="27" spans="1:6" ht="31.5" x14ac:dyDescent="0.25">
      <c r="A27" s="188">
        <v>1</v>
      </c>
      <c r="B27" s="188" t="s">
        <v>432</v>
      </c>
      <c r="C27" s="12"/>
      <c r="D27" s="189">
        <v>192</v>
      </c>
      <c r="E27" s="190">
        <v>300</v>
      </c>
      <c r="F27" s="191">
        <f t="shared" si="0"/>
        <v>56.25</v>
      </c>
    </row>
    <row r="28" spans="1:6" ht="15.75" x14ac:dyDescent="0.25">
      <c r="A28" s="188">
        <v>0</v>
      </c>
      <c r="B28" s="188" t="s">
        <v>433</v>
      </c>
      <c r="C28" s="12"/>
      <c r="D28" s="189">
        <v>615.76</v>
      </c>
      <c r="E28" s="190">
        <v>0</v>
      </c>
      <c r="F28" s="191">
        <f t="shared" si="0"/>
        <v>-100</v>
      </c>
    </row>
    <row r="29" spans="1:6" ht="15.75" x14ac:dyDescent="0.25">
      <c r="A29" s="188">
        <v>0</v>
      </c>
      <c r="B29" s="188" t="s">
        <v>434</v>
      </c>
      <c r="C29" s="12"/>
      <c r="D29" s="189">
        <v>3259.3</v>
      </c>
      <c r="E29" s="190">
        <v>0</v>
      </c>
      <c r="F29" s="191">
        <f t="shared" si="0"/>
        <v>-100</v>
      </c>
    </row>
    <row r="30" spans="1:6" ht="31.5" x14ac:dyDescent="0.25">
      <c r="A30" s="188">
        <v>12</v>
      </c>
      <c r="B30" s="188" t="s">
        <v>435</v>
      </c>
      <c r="C30" s="12"/>
      <c r="D30" s="189">
        <v>2600</v>
      </c>
      <c r="E30" s="190">
        <v>8000</v>
      </c>
      <c r="F30" s="191">
        <f t="shared" si="0"/>
        <v>207.69230769230774</v>
      </c>
    </row>
    <row r="31" spans="1:6" ht="15.75" x14ac:dyDescent="0.25">
      <c r="A31" s="188">
        <v>12</v>
      </c>
      <c r="B31" s="188" t="s">
        <v>436</v>
      </c>
      <c r="C31" s="12"/>
      <c r="D31" s="189">
        <v>515.76</v>
      </c>
      <c r="E31" s="190">
        <v>0</v>
      </c>
      <c r="F31" s="191">
        <f t="shared" si="0"/>
        <v>-100</v>
      </c>
    </row>
    <row r="32" spans="1:6" ht="15.75" x14ac:dyDescent="0.25">
      <c r="A32" s="188">
        <v>1</v>
      </c>
      <c r="B32" s="188" t="s">
        <v>437</v>
      </c>
      <c r="C32" s="12"/>
      <c r="D32" s="192">
        <v>3000</v>
      </c>
      <c r="E32" s="190">
        <v>3000</v>
      </c>
      <c r="F32" s="191">
        <f t="shared" si="0"/>
        <v>0</v>
      </c>
    </row>
    <row r="33" spans="1:6" ht="15.75" x14ac:dyDescent="0.25">
      <c r="A33" s="12">
        <v>1</v>
      </c>
      <c r="B33" s="12" t="s">
        <v>438</v>
      </c>
      <c r="C33" s="12"/>
      <c r="D33" s="189">
        <v>25000</v>
      </c>
      <c r="E33" s="190">
        <v>25000</v>
      </c>
      <c r="F33" s="191">
        <f t="shared" si="0"/>
        <v>0</v>
      </c>
    </row>
    <row r="34" spans="1:6" ht="15.75" x14ac:dyDescent="0.25">
      <c r="A34" s="12">
        <v>1</v>
      </c>
      <c r="B34" s="12" t="s">
        <v>439</v>
      </c>
      <c r="C34" s="12"/>
      <c r="D34" s="189">
        <v>3909</v>
      </c>
      <c r="E34" s="190">
        <v>4000</v>
      </c>
      <c r="F34" s="191">
        <f t="shared" si="0"/>
        <v>2.3279611153747624</v>
      </c>
    </row>
    <row r="35" spans="1:6" ht="31.5" x14ac:dyDescent="0.25">
      <c r="A35" s="12">
        <v>1</v>
      </c>
      <c r="B35" s="12" t="s">
        <v>440</v>
      </c>
      <c r="C35" s="12"/>
      <c r="D35" s="189">
        <v>10000</v>
      </c>
      <c r="E35" s="190">
        <v>10000</v>
      </c>
      <c r="F35" s="191">
        <f t="shared" si="0"/>
        <v>0</v>
      </c>
    </row>
    <row r="36" spans="1:6" ht="31.5" x14ac:dyDescent="0.25">
      <c r="A36" s="12">
        <v>1</v>
      </c>
      <c r="B36" s="12" t="s">
        <v>441</v>
      </c>
      <c r="C36" s="12"/>
      <c r="D36" s="189">
        <v>10000</v>
      </c>
      <c r="E36" s="190">
        <v>0</v>
      </c>
      <c r="F36" s="191">
        <f t="shared" si="0"/>
        <v>-100</v>
      </c>
    </row>
    <row r="37" spans="1:6" s="4" customFormat="1" ht="15.75" x14ac:dyDescent="0.25">
      <c r="A37" s="12">
        <v>1</v>
      </c>
      <c r="B37" s="12" t="s">
        <v>562</v>
      </c>
      <c r="C37" s="12"/>
      <c r="D37" s="189">
        <v>0</v>
      </c>
      <c r="E37" s="190">
        <v>100000</v>
      </c>
      <c r="F37" s="191">
        <f t="shared" si="0"/>
        <v>0</v>
      </c>
    </row>
    <row r="38" spans="1:6" ht="31.5" x14ac:dyDescent="0.25">
      <c r="A38" s="12">
        <v>1</v>
      </c>
      <c r="B38" s="12" t="s">
        <v>442</v>
      </c>
      <c r="C38" s="12"/>
      <c r="D38" s="189">
        <v>9000</v>
      </c>
      <c r="E38" s="190">
        <v>18000</v>
      </c>
      <c r="F38" s="191">
        <f t="shared" si="0"/>
        <v>100</v>
      </c>
    </row>
    <row r="39" spans="1:6" ht="31.5" x14ac:dyDescent="0.25">
      <c r="A39" s="12">
        <v>1</v>
      </c>
      <c r="B39" s="12" t="s">
        <v>443</v>
      </c>
      <c r="C39" s="12"/>
      <c r="D39" s="189">
        <v>8000</v>
      </c>
      <c r="E39" s="190">
        <v>0</v>
      </c>
      <c r="F39" s="191">
        <f t="shared" si="0"/>
        <v>-100</v>
      </c>
    </row>
    <row r="40" spans="1:6" ht="31.5" x14ac:dyDescent="0.25">
      <c r="A40" s="12">
        <v>1</v>
      </c>
      <c r="B40" s="12" t="s">
        <v>444</v>
      </c>
      <c r="C40" s="193"/>
      <c r="D40" s="189">
        <v>50000</v>
      </c>
      <c r="E40" s="190">
        <v>0</v>
      </c>
      <c r="F40" s="191">
        <f t="shared" si="0"/>
        <v>-100</v>
      </c>
    </row>
    <row r="41" spans="1:6" ht="15.75" x14ac:dyDescent="0.25">
      <c r="A41" s="569" t="s">
        <v>0</v>
      </c>
      <c r="B41" s="569"/>
      <c r="C41" s="569"/>
      <c r="D41" s="194">
        <f>SUM(D8:D40)</f>
        <v>655733.78</v>
      </c>
      <c r="E41" s="194">
        <f>SUM(E8:E40)</f>
        <v>772200</v>
      </c>
      <c r="F41" s="194">
        <f>IFERROR(E41/D41*100-100,0)</f>
        <v>17.761204859691688</v>
      </c>
    </row>
    <row r="42" spans="1:6" ht="15.75" x14ac:dyDescent="0.25">
      <c r="A42" s="195"/>
      <c r="B42" s="195"/>
      <c r="C42" s="195"/>
      <c r="D42" s="196"/>
      <c r="E42" s="196"/>
      <c r="F42" s="197"/>
    </row>
    <row r="43" spans="1:6" ht="15.75" x14ac:dyDescent="0.25">
      <c r="A43" s="573" t="s">
        <v>419</v>
      </c>
      <c r="B43" s="574"/>
      <c r="C43" s="575" t="s">
        <v>445</v>
      </c>
      <c r="D43" s="575"/>
      <c r="E43" s="575"/>
      <c r="F43" s="575"/>
    </row>
    <row r="44" spans="1:6" ht="15.75" x14ac:dyDescent="0.25">
      <c r="A44" s="574" t="s">
        <v>34</v>
      </c>
      <c r="B44" s="574"/>
      <c r="C44" s="576" t="s">
        <v>109</v>
      </c>
      <c r="D44" s="576"/>
      <c r="E44" s="576"/>
      <c r="F44" s="576"/>
    </row>
    <row r="45" spans="1:6" ht="15.75" x14ac:dyDescent="0.25">
      <c r="A45" s="183"/>
      <c r="B45" s="183"/>
      <c r="C45" s="183"/>
      <c r="D45" s="184"/>
      <c r="E45" s="184"/>
      <c r="F45" s="185"/>
    </row>
    <row r="46" spans="1:6" ht="15.75" customHeight="1" x14ac:dyDescent="0.25">
      <c r="A46" s="570" t="s">
        <v>413</v>
      </c>
      <c r="B46" s="572"/>
      <c r="C46" s="572"/>
      <c r="D46" s="570" t="s">
        <v>414</v>
      </c>
      <c r="E46" s="572"/>
      <c r="F46" s="571"/>
    </row>
    <row r="47" spans="1:6" ht="15.75" customHeight="1" x14ac:dyDescent="0.25">
      <c r="A47" s="570" t="s">
        <v>415</v>
      </c>
      <c r="B47" s="572"/>
      <c r="C47" s="571"/>
      <c r="D47" s="570" t="s">
        <v>495</v>
      </c>
      <c r="E47" s="571"/>
      <c r="F47" s="577" t="s">
        <v>497</v>
      </c>
    </row>
    <row r="48" spans="1:6" ht="63" x14ac:dyDescent="0.25">
      <c r="A48" s="186" t="s">
        <v>416</v>
      </c>
      <c r="B48" s="186" t="s">
        <v>417</v>
      </c>
      <c r="C48" s="187" t="s">
        <v>418</v>
      </c>
      <c r="D48" s="186" t="s">
        <v>494</v>
      </c>
      <c r="E48" s="186" t="s">
        <v>496</v>
      </c>
      <c r="F48" s="577"/>
    </row>
    <row r="49" spans="1:6" ht="47.25" x14ac:dyDescent="0.25">
      <c r="A49" s="188">
        <v>12</v>
      </c>
      <c r="B49" s="188" t="s">
        <v>446</v>
      </c>
      <c r="C49" s="12"/>
      <c r="D49" s="192">
        <v>144450</v>
      </c>
      <c r="E49" s="190">
        <v>156640</v>
      </c>
      <c r="F49" s="191">
        <f t="shared" ref="F49:F56" si="1">IFERROR(E49/D49*100-100,0)</f>
        <v>8.4389061959155356</v>
      </c>
    </row>
    <row r="50" spans="1:6" ht="47.25" x14ac:dyDescent="0.25">
      <c r="A50" s="188">
        <v>12</v>
      </c>
      <c r="B50" s="188" t="s">
        <v>555</v>
      </c>
      <c r="C50" s="12"/>
      <c r="D50" s="192">
        <v>14400</v>
      </c>
      <c r="E50" s="190">
        <v>14400</v>
      </c>
      <c r="F50" s="191">
        <f t="shared" si="1"/>
        <v>0</v>
      </c>
    </row>
    <row r="51" spans="1:6" ht="15.75" x14ac:dyDescent="0.25">
      <c r="A51" s="188">
        <v>12</v>
      </c>
      <c r="B51" s="188" t="s">
        <v>426</v>
      </c>
      <c r="C51" s="12"/>
      <c r="D51" s="189">
        <v>900</v>
      </c>
      <c r="E51" s="190">
        <v>900</v>
      </c>
      <c r="F51" s="191">
        <f t="shared" si="1"/>
        <v>0</v>
      </c>
    </row>
    <row r="52" spans="1:6" ht="31.5" x14ac:dyDescent="0.25">
      <c r="A52" s="188">
        <v>12</v>
      </c>
      <c r="B52" s="188" t="s">
        <v>447</v>
      </c>
      <c r="C52" s="12"/>
      <c r="D52" s="189">
        <v>15360</v>
      </c>
      <c r="E52" s="190">
        <v>16000</v>
      </c>
      <c r="F52" s="191">
        <f t="shared" si="1"/>
        <v>4.1666666666666714</v>
      </c>
    </row>
    <row r="53" spans="1:6" ht="15.75" x14ac:dyDescent="0.25">
      <c r="A53" s="188">
        <v>12</v>
      </c>
      <c r="B53" s="188" t="s">
        <v>448</v>
      </c>
      <c r="C53" s="12"/>
      <c r="D53" s="189">
        <v>2391.98</v>
      </c>
      <c r="E53" s="190">
        <f>1547.28+1547.28</f>
        <v>3094.56</v>
      </c>
      <c r="F53" s="191">
        <f t="shared" si="1"/>
        <v>29.372319166548209</v>
      </c>
    </row>
    <row r="54" spans="1:6" ht="31.5" x14ac:dyDescent="0.25">
      <c r="A54" s="188">
        <v>12</v>
      </c>
      <c r="B54" s="188" t="s">
        <v>449</v>
      </c>
      <c r="C54" s="12"/>
      <c r="D54" s="189">
        <v>2247.48</v>
      </c>
      <c r="E54" s="190">
        <v>2500</v>
      </c>
      <c r="F54" s="191">
        <f t="shared" si="1"/>
        <v>11.235695089611482</v>
      </c>
    </row>
    <row r="55" spans="1:6" ht="15.75" x14ac:dyDescent="0.25">
      <c r="A55" s="188">
        <v>1</v>
      </c>
      <c r="B55" s="188" t="s">
        <v>557</v>
      </c>
      <c r="C55" s="12"/>
      <c r="D55" s="189">
        <v>0</v>
      </c>
      <c r="E55" s="190">
        <v>25000</v>
      </c>
      <c r="F55" s="191">
        <f t="shared" si="1"/>
        <v>0</v>
      </c>
    </row>
    <row r="56" spans="1:6" ht="15.75" x14ac:dyDescent="0.25">
      <c r="A56" s="569" t="s">
        <v>0</v>
      </c>
      <c r="B56" s="569"/>
      <c r="C56" s="569"/>
      <c r="D56" s="194">
        <f>SUM(D49:D55)</f>
        <v>179749.46000000002</v>
      </c>
      <c r="E56" s="194">
        <f>SUM(E49:E55)</f>
        <v>218534.56</v>
      </c>
      <c r="F56" s="194">
        <f t="shared" si="1"/>
        <v>21.57731099720688</v>
      </c>
    </row>
    <row r="57" spans="1:6" ht="15.75" x14ac:dyDescent="0.25">
      <c r="A57" s="195"/>
      <c r="B57" s="195"/>
      <c r="C57" s="195"/>
      <c r="D57" s="196"/>
      <c r="E57" s="196"/>
      <c r="F57" s="197"/>
    </row>
    <row r="58" spans="1:6" ht="15.75" x14ac:dyDescent="0.25">
      <c r="A58" s="573" t="s">
        <v>419</v>
      </c>
      <c r="B58" s="574"/>
      <c r="C58" s="575" t="s">
        <v>450</v>
      </c>
      <c r="D58" s="575"/>
      <c r="E58" s="575"/>
      <c r="F58" s="575"/>
    </row>
    <row r="59" spans="1:6" ht="15.75" x14ac:dyDescent="0.25">
      <c r="A59" s="574" t="s">
        <v>34</v>
      </c>
      <c r="B59" s="574"/>
      <c r="C59" s="576" t="s">
        <v>20</v>
      </c>
      <c r="D59" s="576"/>
      <c r="E59" s="576"/>
      <c r="F59" s="576"/>
    </row>
    <row r="60" spans="1:6" ht="15.75" x14ac:dyDescent="0.25">
      <c r="A60" s="183"/>
      <c r="B60" s="183"/>
      <c r="C60" s="183"/>
      <c r="D60" s="184"/>
      <c r="E60" s="184"/>
      <c r="F60" s="185"/>
    </row>
    <row r="61" spans="1:6" ht="15.75" customHeight="1" x14ac:dyDescent="0.25">
      <c r="A61" s="570" t="s">
        <v>413</v>
      </c>
      <c r="B61" s="572"/>
      <c r="C61" s="572"/>
      <c r="D61" s="570" t="s">
        <v>414</v>
      </c>
      <c r="E61" s="572"/>
      <c r="F61" s="571"/>
    </row>
    <row r="62" spans="1:6" ht="15.75" customHeight="1" x14ac:dyDescent="0.25">
      <c r="A62" s="570" t="s">
        <v>415</v>
      </c>
      <c r="B62" s="572"/>
      <c r="C62" s="571"/>
      <c r="D62" s="570" t="s">
        <v>495</v>
      </c>
      <c r="E62" s="571"/>
      <c r="F62" s="577" t="s">
        <v>497</v>
      </c>
    </row>
    <row r="63" spans="1:6" ht="63" x14ac:dyDescent="0.25">
      <c r="A63" s="186" t="s">
        <v>416</v>
      </c>
      <c r="B63" s="186" t="s">
        <v>417</v>
      </c>
      <c r="C63" s="187" t="s">
        <v>418</v>
      </c>
      <c r="D63" s="186" t="s">
        <v>494</v>
      </c>
      <c r="E63" s="186" t="s">
        <v>496</v>
      </c>
      <c r="F63" s="577"/>
    </row>
    <row r="64" spans="1:6" ht="47.25" x14ac:dyDescent="0.25">
      <c r="A64" s="188">
        <v>12</v>
      </c>
      <c r="B64" s="188" t="s">
        <v>558</v>
      </c>
      <c r="C64" s="12"/>
      <c r="D64" s="192">
        <v>266610</v>
      </c>
      <c r="E64" s="190">
        <v>286470</v>
      </c>
      <c r="F64" s="191">
        <f t="shared" ref="F64:F74" si="2">IFERROR(E64/D64*100-100,0)</f>
        <v>7.4490829301226569</v>
      </c>
    </row>
    <row r="65" spans="1:6" ht="47.25" x14ac:dyDescent="0.25">
      <c r="A65" s="188">
        <v>12</v>
      </c>
      <c r="B65" s="188" t="s">
        <v>560</v>
      </c>
      <c r="C65" s="12"/>
      <c r="D65" s="192">
        <v>21600</v>
      </c>
      <c r="E65" s="190">
        <v>21600</v>
      </c>
      <c r="F65" s="191">
        <f t="shared" si="2"/>
        <v>0</v>
      </c>
    </row>
    <row r="66" spans="1:6" ht="15.75" x14ac:dyDescent="0.25">
      <c r="A66" s="188">
        <v>12</v>
      </c>
      <c r="B66" s="188" t="s">
        <v>426</v>
      </c>
      <c r="C66" s="12"/>
      <c r="D66" s="189">
        <v>900</v>
      </c>
      <c r="E66" s="190">
        <v>900</v>
      </c>
      <c r="F66" s="191">
        <f t="shared" si="2"/>
        <v>0</v>
      </c>
    </row>
    <row r="67" spans="1:6" ht="31.5" x14ac:dyDescent="0.25">
      <c r="A67" s="188">
        <v>12</v>
      </c>
      <c r="B67" s="188" t="s">
        <v>451</v>
      </c>
      <c r="C67" s="12"/>
      <c r="D67" s="189">
        <v>18000</v>
      </c>
      <c r="E67" s="190">
        <v>18000</v>
      </c>
      <c r="F67" s="191">
        <f t="shared" si="2"/>
        <v>0</v>
      </c>
    </row>
    <row r="68" spans="1:6" ht="31.5" x14ac:dyDescent="0.25">
      <c r="A68" s="188">
        <v>6</v>
      </c>
      <c r="B68" s="188" t="s">
        <v>559</v>
      </c>
      <c r="C68" s="12"/>
      <c r="D68" s="189">
        <v>6300</v>
      </c>
      <c r="E68" s="190">
        <f>3000+300+4000</f>
        <v>7300</v>
      </c>
      <c r="F68" s="191">
        <f t="shared" si="2"/>
        <v>15.873015873015888</v>
      </c>
    </row>
    <row r="69" spans="1:6" ht="31.5" x14ac:dyDescent="0.25">
      <c r="A69" s="188">
        <v>17</v>
      </c>
      <c r="B69" s="188" t="s">
        <v>452</v>
      </c>
      <c r="C69" s="12"/>
      <c r="D69" s="189">
        <v>35000</v>
      </c>
      <c r="E69" s="190">
        <v>35000</v>
      </c>
      <c r="F69" s="191">
        <f t="shared" si="2"/>
        <v>0</v>
      </c>
    </row>
    <row r="70" spans="1:6" ht="31.5" x14ac:dyDescent="0.25">
      <c r="A70" s="188">
        <v>1</v>
      </c>
      <c r="B70" s="188" t="s">
        <v>453</v>
      </c>
      <c r="C70" s="12"/>
      <c r="D70" s="189">
        <v>4800</v>
      </c>
      <c r="E70" s="190">
        <v>4200</v>
      </c>
      <c r="F70" s="191">
        <f t="shared" si="2"/>
        <v>-12.5</v>
      </c>
    </row>
    <row r="71" spans="1:6" ht="31.5" x14ac:dyDescent="0.25">
      <c r="A71" s="188">
        <v>1</v>
      </c>
      <c r="B71" s="188" t="s">
        <v>454</v>
      </c>
      <c r="C71" s="12"/>
      <c r="D71" s="189">
        <v>4000</v>
      </c>
      <c r="E71" s="190">
        <v>4000</v>
      </c>
      <c r="F71" s="191">
        <f t="shared" si="2"/>
        <v>0</v>
      </c>
    </row>
    <row r="72" spans="1:6" ht="15.75" x14ac:dyDescent="0.25">
      <c r="A72" s="188">
        <v>12</v>
      </c>
      <c r="B72" s="188" t="s">
        <v>371</v>
      </c>
      <c r="C72" s="12"/>
      <c r="D72" s="189">
        <v>6000</v>
      </c>
      <c r="E72" s="190">
        <v>5000</v>
      </c>
      <c r="F72" s="191">
        <f t="shared" si="2"/>
        <v>-16.666666666666657</v>
      </c>
    </row>
    <row r="73" spans="1:6" s="4" customFormat="1" ht="31.5" x14ac:dyDescent="0.25">
      <c r="A73" s="188">
        <v>12</v>
      </c>
      <c r="B73" s="188" t="s">
        <v>556</v>
      </c>
      <c r="C73" s="12"/>
      <c r="D73" s="189">
        <v>0</v>
      </c>
      <c r="E73" s="190">
        <v>360</v>
      </c>
      <c r="F73" s="191">
        <f t="shared" si="2"/>
        <v>0</v>
      </c>
    </row>
    <row r="74" spans="1:6" ht="15.75" x14ac:dyDescent="0.25">
      <c r="A74" s="569" t="s">
        <v>0</v>
      </c>
      <c r="B74" s="569"/>
      <c r="C74" s="569"/>
      <c r="D74" s="194">
        <f>SUM(D64:D73)</f>
        <v>363210</v>
      </c>
      <c r="E74" s="194">
        <f>SUM(E64:E73)</f>
        <v>382830</v>
      </c>
      <c r="F74" s="194">
        <f t="shared" si="2"/>
        <v>5.4018336499545683</v>
      </c>
    </row>
    <row r="75" spans="1:6" ht="15.75" x14ac:dyDescent="0.25">
      <c r="A75" s="195"/>
      <c r="B75" s="195"/>
      <c r="C75" s="195"/>
      <c r="D75" s="196"/>
      <c r="E75" s="196"/>
      <c r="F75" s="197"/>
    </row>
    <row r="76" spans="1:6" ht="15.75" x14ac:dyDescent="0.25">
      <c r="A76" s="573" t="s">
        <v>419</v>
      </c>
      <c r="B76" s="574"/>
      <c r="C76" s="575" t="s">
        <v>455</v>
      </c>
      <c r="D76" s="575"/>
      <c r="E76" s="575"/>
      <c r="F76" s="575"/>
    </row>
    <row r="77" spans="1:6" ht="15.75" x14ac:dyDescent="0.25">
      <c r="A77" s="574" t="s">
        <v>34</v>
      </c>
      <c r="B77" s="574"/>
      <c r="C77" s="576" t="s">
        <v>25</v>
      </c>
      <c r="D77" s="576"/>
      <c r="E77" s="576"/>
      <c r="F77" s="576"/>
    </row>
    <row r="78" spans="1:6" ht="15.75" x14ac:dyDescent="0.25">
      <c r="A78" s="183"/>
      <c r="B78" s="183"/>
      <c r="C78" s="183"/>
      <c r="D78" s="184"/>
      <c r="E78" s="184"/>
      <c r="F78" s="185"/>
    </row>
    <row r="79" spans="1:6" ht="15.75" customHeight="1" x14ac:dyDescent="0.25">
      <c r="A79" s="570" t="s">
        <v>413</v>
      </c>
      <c r="B79" s="572"/>
      <c r="C79" s="572"/>
      <c r="D79" s="570" t="s">
        <v>414</v>
      </c>
      <c r="E79" s="572"/>
      <c r="F79" s="571"/>
    </row>
    <row r="80" spans="1:6" ht="15.75" customHeight="1" x14ac:dyDescent="0.25">
      <c r="A80" s="570" t="s">
        <v>415</v>
      </c>
      <c r="B80" s="572"/>
      <c r="C80" s="571"/>
      <c r="D80" s="570" t="s">
        <v>495</v>
      </c>
      <c r="E80" s="571"/>
      <c r="F80" s="577" t="s">
        <v>497</v>
      </c>
    </row>
    <row r="81" spans="1:6" ht="63" x14ac:dyDescent="0.25">
      <c r="A81" s="186" t="s">
        <v>416</v>
      </c>
      <c r="B81" s="186" t="s">
        <v>417</v>
      </c>
      <c r="C81" s="187" t="s">
        <v>418</v>
      </c>
      <c r="D81" s="186" t="s">
        <v>494</v>
      </c>
      <c r="E81" s="186" t="s">
        <v>496</v>
      </c>
      <c r="F81" s="577"/>
    </row>
    <row r="82" spans="1:6" ht="47.25" x14ac:dyDescent="0.25">
      <c r="A82" s="188">
        <v>12</v>
      </c>
      <c r="B82" s="188" t="s">
        <v>456</v>
      </c>
      <c r="C82" s="12"/>
      <c r="D82" s="192">
        <v>82880</v>
      </c>
      <c r="E82" s="190">
        <v>92490</v>
      </c>
      <c r="F82" s="191">
        <f t="shared" ref="F82:F90" si="3">IFERROR(E82/D82*100-100,0)</f>
        <v>11.595077220077215</v>
      </c>
    </row>
    <row r="83" spans="1:6" ht="47.25" x14ac:dyDescent="0.25">
      <c r="A83" s="188">
        <v>12</v>
      </c>
      <c r="B83" s="188" t="s">
        <v>457</v>
      </c>
      <c r="C83" s="12"/>
      <c r="D83" s="192">
        <v>14400</v>
      </c>
      <c r="E83" s="190">
        <v>14400</v>
      </c>
      <c r="F83" s="191">
        <f t="shared" si="3"/>
        <v>0</v>
      </c>
    </row>
    <row r="84" spans="1:6" ht="15.75" x14ac:dyDescent="0.25">
      <c r="A84" s="188">
        <v>12</v>
      </c>
      <c r="B84" s="188" t="s">
        <v>426</v>
      </c>
      <c r="C84" s="12"/>
      <c r="D84" s="189">
        <v>900</v>
      </c>
      <c r="E84" s="190">
        <v>900</v>
      </c>
      <c r="F84" s="191">
        <f t="shared" si="3"/>
        <v>0</v>
      </c>
    </row>
    <row r="85" spans="1:6" ht="31.5" x14ac:dyDescent="0.25">
      <c r="A85" s="188">
        <v>1</v>
      </c>
      <c r="B85" s="188" t="s">
        <v>458</v>
      </c>
      <c r="C85" s="12"/>
      <c r="D85" s="189">
        <v>2400</v>
      </c>
      <c r="E85" s="190">
        <v>2100</v>
      </c>
      <c r="F85" s="191">
        <f t="shared" si="3"/>
        <v>-12.5</v>
      </c>
    </row>
    <row r="86" spans="1:6" ht="31.5" x14ac:dyDescent="0.25">
      <c r="A86" s="188">
        <v>1</v>
      </c>
      <c r="B86" s="188" t="s">
        <v>459</v>
      </c>
      <c r="C86" s="12"/>
      <c r="D86" s="189">
        <v>2500</v>
      </c>
      <c r="E86" s="190">
        <v>2500</v>
      </c>
      <c r="F86" s="191">
        <f t="shared" si="3"/>
        <v>0</v>
      </c>
    </row>
    <row r="87" spans="1:6" ht="15.75" x14ac:dyDescent="0.25">
      <c r="A87" s="188">
        <v>1</v>
      </c>
      <c r="B87" s="188" t="s">
        <v>460</v>
      </c>
      <c r="C87" s="12"/>
      <c r="D87" s="189">
        <v>5000</v>
      </c>
      <c r="E87" s="190">
        <v>0</v>
      </c>
      <c r="F87" s="191">
        <f t="shared" si="3"/>
        <v>-100</v>
      </c>
    </row>
    <row r="88" spans="1:6" ht="15.75" x14ac:dyDescent="0.25">
      <c r="A88" s="188">
        <v>1</v>
      </c>
      <c r="B88" s="188" t="s">
        <v>461</v>
      </c>
      <c r="C88" s="12"/>
      <c r="D88" s="189">
        <v>2000</v>
      </c>
      <c r="E88" s="190">
        <v>0</v>
      </c>
      <c r="F88" s="191">
        <f t="shared" si="3"/>
        <v>-100</v>
      </c>
    </row>
    <row r="89" spans="1:6" ht="15.75" x14ac:dyDescent="0.25">
      <c r="A89" s="188">
        <v>1</v>
      </c>
      <c r="B89" s="188" t="s">
        <v>462</v>
      </c>
      <c r="C89" s="12"/>
      <c r="D89" s="189">
        <v>1000</v>
      </c>
      <c r="E89" s="190">
        <v>0</v>
      </c>
      <c r="F89" s="191">
        <f t="shared" si="3"/>
        <v>-100</v>
      </c>
    </row>
    <row r="90" spans="1:6" ht="15.75" x14ac:dyDescent="0.25">
      <c r="A90" s="569" t="s">
        <v>0</v>
      </c>
      <c r="B90" s="569"/>
      <c r="C90" s="569"/>
      <c r="D90" s="194">
        <f>SUM(D82:D89)</f>
        <v>111080</v>
      </c>
      <c r="E90" s="194">
        <f>SUM(E82:E89)</f>
        <v>112390</v>
      </c>
      <c r="F90" s="194">
        <f t="shared" si="3"/>
        <v>1.1793302124594902</v>
      </c>
    </row>
    <row r="91" spans="1:6" ht="15.75" x14ac:dyDescent="0.25">
      <c r="A91" s="195"/>
      <c r="B91" s="195"/>
      <c r="C91" s="195"/>
      <c r="D91" s="196"/>
      <c r="E91" s="196"/>
      <c r="F91" s="197"/>
    </row>
    <row r="92" spans="1:6" ht="15.75" x14ac:dyDescent="0.25">
      <c r="A92" s="573" t="s">
        <v>419</v>
      </c>
      <c r="B92" s="574"/>
      <c r="C92" s="575" t="s">
        <v>463</v>
      </c>
      <c r="D92" s="575"/>
      <c r="E92" s="575"/>
      <c r="F92" s="575"/>
    </row>
    <row r="93" spans="1:6" ht="15.75" x14ac:dyDescent="0.25">
      <c r="A93" s="574" t="s">
        <v>34</v>
      </c>
      <c r="B93" s="574"/>
      <c r="C93" s="576" t="s">
        <v>22</v>
      </c>
      <c r="D93" s="576"/>
      <c r="E93" s="576"/>
      <c r="F93" s="576"/>
    </row>
    <row r="94" spans="1:6" ht="15.75" x14ac:dyDescent="0.25">
      <c r="A94" s="183"/>
      <c r="B94" s="183"/>
      <c r="C94" s="183"/>
      <c r="D94" s="184"/>
      <c r="E94" s="184"/>
      <c r="F94" s="185"/>
    </row>
    <row r="95" spans="1:6" ht="15.75" customHeight="1" x14ac:dyDescent="0.25">
      <c r="A95" s="570" t="s">
        <v>413</v>
      </c>
      <c r="B95" s="572"/>
      <c r="C95" s="572"/>
      <c r="D95" s="570" t="s">
        <v>414</v>
      </c>
      <c r="E95" s="572"/>
      <c r="F95" s="571"/>
    </row>
    <row r="96" spans="1:6" ht="15.75" customHeight="1" x14ac:dyDescent="0.25">
      <c r="A96" s="570" t="s">
        <v>415</v>
      </c>
      <c r="B96" s="572"/>
      <c r="C96" s="571"/>
      <c r="D96" s="570" t="s">
        <v>495</v>
      </c>
      <c r="E96" s="571"/>
      <c r="F96" s="577" t="s">
        <v>497</v>
      </c>
    </row>
    <row r="97" spans="1:6" ht="63" x14ac:dyDescent="0.25">
      <c r="A97" s="186" t="s">
        <v>416</v>
      </c>
      <c r="B97" s="186" t="s">
        <v>417</v>
      </c>
      <c r="C97" s="187" t="s">
        <v>418</v>
      </c>
      <c r="D97" s="186" t="s">
        <v>494</v>
      </c>
      <c r="E97" s="186" t="s">
        <v>496</v>
      </c>
      <c r="F97" s="577"/>
    </row>
    <row r="98" spans="1:6" ht="47.25" x14ac:dyDescent="0.25">
      <c r="A98" s="188">
        <v>1</v>
      </c>
      <c r="B98" s="188" t="s">
        <v>464</v>
      </c>
      <c r="C98" s="12"/>
      <c r="D98" s="189">
        <v>30000</v>
      </c>
      <c r="E98" s="190">
        <v>20000</v>
      </c>
      <c r="F98" s="191">
        <f>IFERROR(E98/D98*100-100,0)</f>
        <v>-33.333333333333343</v>
      </c>
    </row>
    <row r="99" spans="1:6" ht="15.75" x14ac:dyDescent="0.25">
      <c r="A99" s="569" t="s">
        <v>0</v>
      </c>
      <c r="B99" s="569"/>
      <c r="C99" s="569"/>
      <c r="D99" s="194">
        <f>SUM(D98:D98)</f>
        <v>30000</v>
      </c>
      <c r="E99" s="194">
        <f>SUM(E98:E98)</f>
        <v>20000</v>
      </c>
      <c r="F99" s="194">
        <f>IFERROR(E99/D99*100-100,0)</f>
        <v>-33.333333333333343</v>
      </c>
    </row>
    <row r="100" spans="1:6" ht="15.75" x14ac:dyDescent="0.25">
      <c r="A100" s="195"/>
      <c r="B100" s="195"/>
      <c r="C100" s="195"/>
      <c r="D100" s="196"/>
      <c r="E100" s="196"/>
      <c r="F100" s="197"/>
    </row>
    <row r="101" spans="1:6" ht="15.75" x14ac:dyDescent="0.25">
      <c r="A101" s="573" t="s">
        <v>419</v>
      </c>
      <c r="B101" s="574"/>
      <c r="C101" s="575" t="s">
        <v>465</v>
      </c>
      <c r="D101" s="575"/>
      <c r="E101" s="575"/>
      <c r="F101" s="575"/>
    </row>
    <row r="102" spans="1:6" ht="15.75" x14ac:dyDescent="0.25">
      <c r="A102" s="574" t="s">
        <v>34</v>
      </c>
      <c r="B102" s="574"/>
      <c r="C102" s="576" t="s">
        <v>30</v>
      </c>
      <c r="D102" s="576"/>
      <c r="E102" s="576"/>
      <c r="F102" s="576"/>
    </row>
    <row r="103" spans="1:6" ht="15.75" x14ac:dyDescent="0.25">
      <c r="A103" s="183"/>
      <c r="B103" s="183"/>
      <c r="C103" s="183"/>
      <c r="D103" s="184"/>
      <c r="E103" s="184"/>
      <c r="F103" s="185"/>
    </row>
    <row r="104" spans="1:6" ht="15.75" customHeight="1" x14ac:dyDescent="0.25">
      <c r="A104" s="570" t="s">
        <v>413</v>
      </c>
      <c r="B104" s="572"/>
      <c r="C104" s="572"/>
      <c r="D104" s="570" t="s">
        <v>414</v>
      </c>
      <c r="E104" s="572"/>
      <c r="F104" s="571"/>
    </row>
    <row r="105" spans="1:6" ht="15.75" customHeight="1" x14ac:dyDescent="0.25">
      <c r="A105" s="570" t="s">
        <v>415</v>
      </c>
      <c r="B105" s="572"/>
      <c r="C105" s="571"/>
      <c r="D105" s="570" t="s">
        <v>495</v>
      </c>
      <c r="E105" s="571"/>
      <c r="F105" s="577" t="s">
        <v>497</v>
      </c>
    </row>
    <row r="106" spans="1:6" ht="63" x14ac:dyDescent="0.25">
      <c r="A106" s="186" t="s">
        <v>416</v>
      </c>
      <c r="B106" s="186" t="s">
        <v>417</v>
      </c>
      <c r="C106" s="187" t="s">
        <v>418</v>
      </c>
      <c r="D106" s="186" t="s">
        <v>494</v>
      </c>
      <c r="E106" s="186" t="s">
        <v>496</v>
      </c>
      <c r="F106" s="577"/>
    </row>
    <row r="107" spans="1:6" ht="47.25" x14ac:dyDescent="0.25">
      <c r="A107" s="188">
        <v>6</v>
      </c>
      <c r="B107" s="188" t="s">
        <v>466</v>
      </c>
      <c r="C107" s="12"/>
      <c r="D107" s="189">
        <v>25000</v>
      </c>
      <c r="E107" s="190">
        <f>(503.17*7)+16000</f>
        <v>19522.189999999999</v>
      </c>
      <c r="F107" s="191">
        <f>IFERROR(E107/D107*100-100,0)</f>
        <v>-21.911240000000006</v>
      </c>
    </row>
    <row r="108" spans="1:6" ht="15.75" x14ac:dyDescent="0.25">
      <c r="A108" s="569" t="s">
        <v>0</v>
      </c>
      <c r="B108" s="569"/>
      <c r="C108" s="569"/>
      <c r="D108" s="194">
        <f>SUM(D107:D107)</f>
        <v>25000</v>
      </c>
      <c r="E108" s="194">
        <f>SUM(E107:E107)</f>
        <v>19522.189999999999</v>
      </c>
      <c r="F108" s="194">
        <f>IFERROR(E108/D108*100-100,0)</f>
        <v>-21.911240000000006</v>
      </c>
    </row>
    <row r="109" spans="1:6" ht="15.75" x14ac:dyDescent="0.25">
      <c r="A109" s="195"/>
      <c r="B109" s="195"/>
      <c r="C109" s="195"/>
      <c r="D109" s="196"/>
      <c r="E109" s="196"/>
      <c r="F109" s="197"/>
    </row>
    <row r="110" spans="1:6" ht="15.75" x14ac:dyDescent="0.25">
      <c r="A110" s="573" t="s">
        <v>419</v>
      </c>
      <c r="B110" s="574"/>
      <c r="C110" s="575" t="s">
        <v>467</v>
      </c>
      <c r="D110" s="575"/>
      <c r="E110" s="575"/>
      <c r="F110" s="575"/>
    </row>
    <row r="111" spans="1:6" ht="15.75" x14ac:dyDescent="0.25">
      <c r="A111" s="574" t="s">
        <v>34</v>
      </c>
      <c r="B111" s="574"/>
      <c r="C111" s="576" t="s">
        <v>26</v>
      </c>
      <c r="D111" s="576"/>
      <c r="E111" s="576"/>
      <c r="F111" s="576"/>
    </row>
    <row r="112" spans="1:6" ht="15.75" x14ac:dyDescent="0.25">
      <c r="A112" s="183"/>
      <c r="B112" s="183"/>
      <c r="C112" s="183"/>
      <c r="D112" s="184"/>
      <c r="E112" s="184"/>
      <c r="F112" s="185"/>
    </row>
    <row r="113" spans="1:6" ht="15.75" customHeight="1" x14ac:dyDescent="0.25">
      <c r="A113" s="570" t="s">
        <v>413</v>
      </c>
      <c r="B113" s="572"/>
      <c r="C113" s="572"/>
      <c r="D113" s="570" t="s">
        <v>414</v>
      </c>
      <c r="E113" s="572"/>
      <c r="F113" s="571"/>
    </row>
    <row r="114" spans="1:6" ht="15.75" customHeight="1" x14ac:dyDescent="0.25">
      <c r="A114" s="570" t="s">
        <v>415</v>
      </c>
      <c r="B114" s="572"/>
      <c r="C114" s="571"/>
      <c r="D114" s="570" t="s">
        <v>495</v>
      </c>
      <c r="E114" s="571"/>
      <c r="F114" s="577" t="s">
        <v>497</v>
      </c>
    </row>
    <row r="115" spans="1:6" ht="63" x14ac:dyDescent="0.25">
      <c r="A115" s="186" t="s">
        <v>416</v>
      </c>
      <c r="B115" s="186" t="s">
        <v>417</v>
      </c>
      <c r="C115" s="187" t="s">
        <v>418</v>
      </c>
      <c r="D115" s="186" t="s">
        <v>494</v>
      </c>
      <c r="E115" s="186" t="s">
        <v>496</v>
      </c>
      <c r="F115" s="577"/>
    </row>
    <row r="116" spans="1:6" ht="47.25" x14ac:dyDescent="0.25">
      <c r="A116" s="188">
        <v>1</v>
      </c>
      <c r="B116" s="188" t="s">
        <v>468</v>
      </c>
      <c r="C116" s="12"/>
      <c r="D116" s="189">
        <v>3600</v>
      </c>
      <c r="E116" s="190">
        <v>2100</v>
      </c>
      <c r="F116" s="191">
        <f>IFERROR(E116/D116*100-100,0)</f>
        <v>-41.666666666666664</v>
      </c>
    </row>
    <row r="117" spans="1:6" ht="47.25" x14ac:dyDescent="0.25">
      <c r="A117" s="188">
        <v>1</v>
      </c>
      <c r="B117" s="188" t="s">
        <v>469</v>
      </c>
      <c r="C117" s="12"/>
      <c r="D117" s="189">
        <v>3000</v>
      </c>
      <c r="E117" s="190">
        <v>2500</v>
      </c>
      <c r="F117" s="191">
        <f>IFERROR(E117/D117*100-100,0)</f>
        <v>-16.666666666666657</v>
      </c>
    </row>
    <row r="118" spans="1:6" ht="15.75" x14ac:dyDescent="0.25">
      <c r="A118" s="569" t="s">
        <v>0</v>
      </c>
      <c r="B118" s="569"/>
      <c r="C118" s="569"/>
      <c r="D118" s="194">
        <f>SUM(D116:D117)</f>
        <v>6600</v>
      </c>
      <c r="E118" s="194">
        <f>SUM(E116:E117)</f>
        <v>4600</v>
      </c>
      <c r="F118" s="194">
        <f>IFERROR(E118/D118*100-100,0)</f>
        <v>-30.303030303030297</v>
      </c>
    </row>
    <row r="119" spans="1:6" ht="15.75" x14ac:dyDescent="0.25">
      <c r="A119" s="195"/>
      <c r="B119" s="195"/>
      <c r="C119" s="195"/>
      <c r="D119" s="196"/>
      <c r="E119" s="196"/>
      <c r="F119" s="197"/>
    </row>
    <row r="120" spans="1:6" ht="15.75" x14ac:dyDescent="0.25">
      <c r="A120" s="573" t="s">
        <v>419</v>
      </c>
      <c r="B120" s="574"/>
      <c r="C120" s="575" t="s">
        <v>470</v>
      </c>
      <c r="D120" s="575"/>
      <c r="E120" s="575"/>
      <c r="F120" s="575"/>
    </row>
    <row r="121" spans="1:6" ht="15.75" x14ac:dyDescent="0.25">
      <c r="A121" s="574" t="s">
        <v>34</v>
      </c>
      <c r="B121" s="574"/>
      <c r="C121" s="576" t="s">
        <v>29</v>
      </c>
      <c r="D121" s="576"/>
      <c r="E121" s="576"/>
      <c r="F121" s="576"/>
    </row>
    <row r="122" spans="1:6" ht="15.75" x14ac:dyDescent="0.25">
      <c r="A122" s="183"/>
      <c r="B122" s="183"/>
      <c r="C122" s="183"/>
      <c r="D122" s="184"/>
      <c r="E122" s="184"/>
      <c r="F122" s="185"/>
    </row>
    <row r="123" spans="1:6" ht="15.75" customHeight="1" x14ac:dyDescent="0.25">
      <c r="A123" s="570" t="s">
        <v>413</v>
      </c>
      <c r="B123" s="572"/>
      <c r="C123" s="572"/>
      <c r="D123" s="570" t="s">
        <v>414</v>
      </c>
      <c r="E123" s="572"/>
      <c r="F123" s="571"/>
    </row>
    <row r="124" spans="1:6" ht="15.75" customHeight="1" x14ac:dyDescent="0.25">
      <c r="A124" s="570" t="s">
        <v>415</v>
      </c>
      <c r="B124" s="572"/>
      <c r="C124" s="571"/>
      <c r="D124" s="570" t="s">
        <v>495</v>
      </c>
      <c r="E124" s="571"/>
      <c r="F124" s="577" t="s">
        <v>497</v>
      </c>
    </row>
    <row r="125" spans="1:6" ht="63" x14ac:dyDescent="0.25">
      <c r="A125" s="186" t="s">
        <v>416</v>
      </c>
      <c r="B125" s="186" t="s">
        <v>417</v>
      </c>
      <c r="C125" s="187" t="s">
        <v>418</v>
      </c>
      <c r="D125" s="186" t="s">
        <v>494</v>
      </c>
      <c r="E125" s="186" t="s">
        <v>496</v>
      </c>
      <c r="F125" s="577"/>
    </row>
    <row r="126" spans="1:6" ht="47.25" x14ac:dyDescent="0.25">
      <c r="A126" s="188">
        <v>1</v>
      </c>
      <c r="B126" s="188" t="s">
        <v>471</v>
      </c>
      <c r="C126" s="12"/>
      <c r="D126" s="189">
        <v>2400</v>
      </c>
      <c r="E126" s="190">
        <v>4200</v>
      </c>
      <c r="F126" s="191">
        <f>IFERROR(E126/D126*100-100,0)</f>
        <v>75</v>
      </c>
    </row>
    <row r="127" spans="1:6" ht="47.25" x14ac:dyDescent="0.25">
      <c r="A127" s="188">
        <v>1</v>
      </c>
      <c r="B127" s="188" t="s">
        <v>472</v>
      </c>
      <c r="C127" s="12"/>
      <c r="D127" s="189">
        <v>2100</v>
      </c>
      <c r="E127" s="190">
        <v>4500</v>
      </c>
      <c r="F127" s="191">
        <f>IFERROR(E127/D127*100-100,0)</f>
        <v>114.28571428571428</v>
      </c>
    </row>
    <row r="128" spans="1:6" ht="47.25" x14ac:dyDescent="0.25">
      <c r="A128" s="188">
        <v>4</v>
      </c>
      <c r="B128" s="188" t="s">
        <v>473</v>
      </c>
      <c r="C128" s="12"/>
      <c r="D128" s="189">
        <v>4800</v>
      </c>
      <c r="E128" s="190">
        <v>8400</v>
      </c>
      <c r="F128" s="191">
        <f>IFERROR(E128/D128*100-100,0)</f>
        <v>75</v>
      </c>
    </row>
    <row r="129" spans="1:6" ht="47.25" x14ac:dyDescent="0.25">
      <c r="A129" s="188">
        <v>4</v>
      </c>
      <c r="B129" s="188" t="s">
        <v>474</v>
      </c>
      <c r="C129" s="12"/>
      <c r="D129" s="189">
        <v>4250</v>
      </c>
      <c r="E129" s="190">
        <v>8000</v>
      </c>
      <c r="F129" s="191">
        <f>IFERROR(E129/D129*100-100,0)</f>
        <v>88.235294117647044</v>
      </c>
    </row>
    <row r="130" spans="1:6" ht="15.75" x14ac:dyDescent="0.25">
      <c r="A130" s="569" t="s">
        <v>0</v>
      </c>
      <c r="B130" s="569"/>
      <c r="C130" s="569"/>
      <c r="D130" s="194">
        <f>SUM(D126:D129)</f>
        <v>13550</v>
      </c>
      <c r="E130" s="194">
        <f>SUM(E126:E129)</f>
        <v>25100</v>
      </c>
      <c r="F130" s="194">
        <f>IFERROR(E130/D130*100-100,0)</f>
        <v>85.239852398523993</v>
      </c>
    </row>
    <row r="131" spans="1:6" ht="15.75" x14ac:dyDescent="0.25">
      <c r="A131" s="195"/>
      <c r="B131" s="195"/>
      <c r="C131" s="195"/>
      <c r="D131" s="196"/>
      <c r="E131" s="196"/>
      <c r="F131" s="197"/>
    </row>
    <row r="132" spans="1:6" ht="15.75" x14ac:dyDescent="0.25">
      <c r="A132" s="573" t="s">
        <v>419</v>
      </c>
      <c r="B132" s="574"/>
      <c r="C132" s="575" t="s">
        <v>475</v>
      </c>
      <c r="D132" s="575"/>
      <c r="E132" s="575"/>
      <c r="F132" s="575"/>
    </row>
    <row r="133" spans="1:6" ht="15.75" x14ac:dyDescent="0.25">
      <c r="A133" s="574" t="s">
        <v>34</v>
      </c>
      <c r="B133" s="574"/>
      <c r="C133" s="576" t="s">
        <v>115</v>
      </c>
      <c r="D133" s="576"/>
      <c r="E133" s="576"/>
      <c r="F133" s="576"/>
    </row>
    <row r="134" spans="1:6" ht="15.75" x14ac:dyDescent="0.25">
      <c r="A134" s="183"/>
      <c r="B134" s="183"/>
      <c r="C134" s="183"/>
      <c r="D134" s="184"/>
      <c r="E134" s="184"/>
      <c r="F134" s="185"/>
    </row>
    <row r="135" spans="1:6" ht="15.75" customHeight="1" x14ac:dyDescent="0.25">
      <c r="A135" s="570" t="s">
        <v>413</v>
      </c>
      <c r="B135" s="572"/>
      <c r="C135" s="572"/>
      <c r="D135" s="570" t="s">
        <v>414</v>
      </c>
      <c r="E135" s="572"/>
      <c r="F135" s="571"/>
    </row>
    <row r="136" spans="1:6" ht="15.75" customHeight="1" x14ac:dyDescent="0.25">
      <c r="A136" s="570" t="s">
        <v>415</v>
      </c>
      <c r="B136" s="572"/>
      <c r="C136" s="571"/>
      <c r="D136" s="570" t="s">
        <v>495</v>
      </c>
      <c r="E136" s="571"/>
      <c r="F136" s="577" t="s">
        <v>497</v>
      </c>
    </row>
    <row r="137" spans="1:6" ht="63" x14ac:dyDescent="0.25">
      <c r="A137" s="186" t="s">
        <v>416</v>
      </c>
      <c r="B137" s="186" t="s">
        <v>417</v>
      </c>
      <c r="C137" s="187" t="s">
        <v>418</v>
      </c>
      <c r="D137" s="186" t="s">
        <v>494</v>
      </c>
      <c r="E137" s="186" t="s">
        <v>496</v>
      </c>
      <c r="F137" s="577"/>
    </row>
    <row r="138" spans="1:6" ht="15.75" x14ac:dyDescent="0.25">
      <c r="A138" s="188">
        <v>12</v>
      </c>
      <c r="B138" s="188" t="s">
        <v>371</v>
      </c>
      <c r="C138" s="12"/>
      <c r="D138" s="189">
        <v>7931.87</v>
      </c>
      <c r="E138" s="190">
        <v>3000</v>
      </c>
      <c r="F138" s="191">
        <f t="shared" ref="F138:F145" si="4">IFERROR(E138/D138*100-100,0)</f>
        <v>-62.177897519752598</v>
      </c>
    </row>
    <row r="139" spans="1:6" ht="15.75" x14ac:dyDescent="0.25">
      <c r="A139" s="188">
        <v>4</v>
      </c>
      <c r="B139" s="188" t="s">
        <v>476</v>
      </c>
      <c r="C139" s="12"/>
      <c r="D139" s="189">
        <v>5700</v>
      </c>
      <c r="E139" s="216">
        <v>8400</v>
      </c>
      <c r="F139" s="191">
        <f t="shared" si="4"/>
        <v>47.368421052631561</v>
      </c>
    </row>
    <row r="140" spans="1:6" ht="15.75" x14ac:dyDescent="0.25">
      <c r="A140" s="188">
        <v>4</v>
      </c>
      <c r="B140" s="188" t="s">
        <v>477</v>
      </c>
      <c r="C140" s="12"/>
      <c r="D140" s="189">
        <v>7540</v>
      </c>
      <c r="E140" s="216">
        <v>8440</v>
      </c>
      <c r="F140" s="191">
        <f t="shared" si="4"/>
        <v>11.936339522546419</v>
      </c>
    </row>
    <row r="141" spans="1:6" ht="31.5" x14ac:dyDescent="0.25">
      <c r="A141" s="188">
        <v>12</v>
      </c>
      <c r="B141" s="188" t="s">
        <v>478</v>
      </c>
      <c r="C141" s="12"/>
      <c r="D141" s="189">
        <v>32000</v>
      </c>
      <c r="E141" s="190">
        <v>20000</v>
      </c>
      <c r="F141" s="191">
        <f t="shared" si="4"/>
        <v>-37.5</v>
      </c>
    </row>
    <row r="142" spans="1:6" ht="31.5" x14ac:dyDescent="0.25">
      <c r="A142" s="188">
        <v>12</v>
      </c>
      <c r="B142" s="188" t="s">
        <v>479</v>
      </c>
      <c r="C142" s="12"/>
      <c r="D142" s="189">
        <v>18900</v>
      </c>
      <c r="E142" s="190">
        <v>14000</v>
      </c>
      <c r="F142" s="191">
        <f t="shared" si="4"/>
        <v>-25.925925925925924</v>
      </c>
    </row>
    <row r="143" spans="1:6" ht="47.25" x14ac:dyDescent="0.25">
      <c r="A143" s="198">
        <v>12</v>
      </c>
      <c r="B143" s="188" t="s">
        <v>480</v>
      </c>
      <c r="C143" s="12"/>
      <c r="D143" s="189">
        <v>3800</v>
      </c>
      <c r="E143" s="190">
        <v>2000</v>
      </c>
      <c r="F143" s="191">
        <f t="shared" si="4"/>
        <v>-47.368421052631582</v>
      </c>
    </row>
    <row r="144" spans="1:6" ht="31.5" x14ac:dyDescent="0.25">
      <c r="A144" s="188">
        <v>1</v>
      </c>
      <c r="B144" s="188" t="s">
        <v>545</v>
      </c>
      <c r="C144" s="12"/>
      <c r="D144" s="189">
        <v>3030</v>
      </c>
      <c r="E144" s="190">
        <v>0</v>
      </c>
      <c r="F144" s="191">
        <f t="shared" si="4"/>
        <v>-100</v>
      </c>
    </row>
    <row r="145" spans="1:6" ht="15.75" x14ac:dyDescent="0.25">
      <c r="A145" s="569" t="s">
        <v>0</v>
      </c>
      <c r="B145" s="569"/>
      <c r="C145" s="569"/>
      <c r="D145" s="194">
        <f>SUM(D138:D144)</f>
        <v>78901.87</v>
      </c>
      <c r="E145" s="194">
        <f>SUM(E138:E144)</f>
        <v>55840</v>
      </c>
      <c r="F145" s="194">
        <f t="shared" si="4"/>
        <v>-29.228546801235495</v>
      </c>
    </row>
    <row r="146" spans="1:6" ht="15.75" x14ac:dyDescent="0.25">
      <c r="A146" s="195"/>
      <c r="B146" s="195"/>
      <c r="C146" s="195"/>
      <c r="D146" s="196"/>
      <c r="E146" s="196"/>
      <c r="F146" s="197"/>
    </row>
    <row r="147" spans="1:6" ht="15.75" x14ac:dyDescent="0.25">
      <c r="A147" s="573" t="s">
        <v>419</v>
      </c>
      <c r="B147" s="574"/>
      <c r="C147" s="575" t="s">
        <v>481</v>
      </c>
      <c r="D147" s="575"/>
      <c r="E147" s="575"/>
      <c r="F147" s="575"/>
    </row>
    <row r="148" spans="1:6" ht="15.75" x14ac:dyDescent="0.25">
      <c r="A148" s="574" t="s">
        <v>34</v>
      </c>
      <c r="B148" s="574"/>
      <c r="C148" s="576" t="s">
        <v>27</v>
      </c>
      <c r="D148" s="576"/>
      <c r="E148" s="576"/>
      <c r="F148" s="576"/>
    </row>
    <row r="149" spans="1:6" ht="15.75" x14ac:dyDescent="0.25">
      <c r="A149" s="183"/>
      <c r="B149" s="183"/>
      <c r="C149" s="183"/>
      <c r="D149" s="184"/>
      <c r="E149" s="184"/>
      <c r="F149" s="185"/>
    </row>
    <row r="150" spans="1:6" ht="15.75" customHeight="1" x14ac:dyDescent="0.25">
      <c r="A150" s="570" t="s">
        <v>413</v>
      </c>
      <c r="B150" s="572"/>
      <c r="C150" s="572"/>
      <c r="D150" s="570" t="s">
        <v>414</v>
      </c>
      <c r="E150" s="572"/>
      <c r="F150" s="571"/>
    </row>
    <row r="151" spans="1:6" ht="15.75" customHeight="1" x14ac:dyDescent="0.25">
      <c r="A151" s="570" t="s">
        <v>415</v>
      </c>
      <c r="B151" s="572"/>
      <c r="C151" s="571"/>
      <c r="D151" s="570" t="s">
        <v>495</v>
      </c>
      <c r="E151" s="571"/>
      <c r="F151" s="577" t="s">
        <v>497</v>
      </c>
    </row>
    <row r="152" spans="1:6" ht="63" x14ac:dyDescent="0.25">
      <c r="A152" s="186" t="s">
        <v>416</v>
      </c>
      <c r="B152" s="186" t="s">
        <v>417</v>
      </c>
      <c r="C152" s="187" t="s">
        <v>418</v>
      </c>
      <c r="D152" s="186" t="s">
        <v>494</v>
      </c>
      <c r="E152" s="186" t="s">
        <v>496</v>
      </c>
      <c r="F152" s="577"/>
    </row>
    <row r="153" spans="1:6" ht="47.25" x14ac:dyDescent="0.25">
      <c r="A153" s="188">
        <v>1</v>
      </c>
      <c r="B153" s="12" t="s">
        <v>482</v>
      </c>
      <c r="C153" s="12"/>
      <c r="D153" s="189">
        <v>2800</v>
      </c>
      <c r="E153" s="190">
        <v>2100</v>
      </c>
      <c r="F153" s="191">
        <f t="shared" ref="F153:F160" si="5">IFERROR(E153/D153*100-100,0)</f>
        <v>-25</v>
      </c>
    </row>
    <row r="154" spans="1:6" ht="47.25" x14ac:dyDescent="0.25">
      <c r="A154" s="188">
        <v>1</v>
      </c>
      <c r="B154" s="12" t="s">
        <v>483</v>
      </c>
      <c r="C154" s="12"/>
      <c r="D154" s="189">
        <v>2500</v>
      </c>
      <c r="E154" s="190">
        <v>2500</v>
      </c>
      <c r="F154" s="191">
        <f t="shared" si="5"/>
        <v>0</v>
      </c>
    </row>
    <row r="155" spans="1:6" ht="47.25" x14ac:dyDescent="0.25">
      <c r="A155" s="188">
        <v>1</v>
      </c>
      <c r="B155" s="188" t="s">
        <v>484</v>
      </c>
      <c r="C155" s="12"/>
      <c r="D155" s="189">
        <v>2800</v>
      </c>
      <c r="E155" s="190">
        <v>2100</v>
      </c>
      <c r="F155" s="191">
        <f t="shared" si="5"/>
        <v>-25</v>
      </c>
    </row>
    <row r="156" spans="1:6" ht="47.25" x14ac:dyDescent="0.25">
      <c r="A156" s="188">
        <v>1</v>
      </c>
      <c r="B156" s="12" t="s">
        <v>485</v>
      </c>
      <c r="C156" s="12"/>
      <c r="D156" s="189">
        <v>2500</v>
      </c>
      <c r="E156" s="190">
        <v>2500</v>
      </c>
      <c r="F156" s="191">
        <f t="shared" si="5"/>
        <v>0</v>
      </c>
    </row>
    <row r="157" spans="1:6" ht="15.75" x14ac:dyDescent="0.25">
      <c r="A157" s="188">
        <v>1</v>
      </c>
      <c r="B157" s="188" t="s">
        <v>486</v>
      </c>
      <c r="C157" s="12"/>
      <c r="D157" s="189">
        <v>37400</v>
      </c>
      <c r="E157" s="190">
        <v>0</v>
      </c>
      <c r="F157" s="191">
        <f t="shared" si="5"/>
        <v>-100</v>
      </c>
    </row>
    <row r="158" spans="1:6" ht="15.75" x14ac:dyDescent="0.25">
      <c r="A158" s="188">
        <v>1</v>
      </c>
      <c r="B158" s="188" t="s">
        <v>487</v>
      </c>
      <c r="C158" s="12"/>
      <c r="D158" s="189">
        <v>2000</v>
      </c>
      <c r="E158" s="190">
        <v>0</v>
      </c>
      <c r="F158" s="191">
        <f t="shared" si="5"/>
        <v>-100</v>
      </c>
    </row>
    <row r="159" spans="1:6" ht="15.75" x14ac:dyDescent="0.25">
      <c r="A159" s="188">
        <v>1</v>
      </c>
      <c r="B159" s="188" t="s">
        <v>488</v>
      </c>
      <c r="C159" s="12"/>
      <c r="D159" s="189">
        <v>40000</v>
      </c>
      <c r="E159" s="190">
        <v>23500</v>
      </c>
      <c r="F159" s="191">
        <f t="shared" si="5"/>
        <v>-41.25</v>
      </c>
    </row>
    <row r="160" spans="1:6" ht="15.75" x14ac:dyDescent="0.25">
      <c r="A160" s="569" t="s">
        <v>0</v>
      </c>
      <c r="B160" s="569"/>
      <c r="C160" s="569"/>
      <c r="D160" s="194">
        <f>SUM(D153:D159)</f>
        <v>90000</v>
      </c>
      <c r="E160" s="194">
        <f>SUM(E153:E159)</f>
        <v>32700</v>
      </c>
      <c r="F160" s="194">
        <f t="shared" si="5"/>
        <v>-63.666666666666664</v>
      </c>
    </row>
    <row r="161" spans="1:6" ht="15.75" x14ac:dyDescent="0.25">
      <c r="A161" s="195"/>
      <c r="B161" s="195"/>
      <c r="C161" s="195"/>
      <c r="D161" s="196"/>
      <c r="E161" s="196"/>
      <c r="F161" s="197"/>
    </row>
    <row r="162" spans="1:6" ht="15.75" x14ac:dyDescent="0.25">
      <c r="A162" s="573" t="s">
        <v>419</v>
      </c>
      <c r="B162" s="574"/>
      <c r="C162" s="575" t="s">
        <v>489</v>
      </c>
      <c r="D162" s="575"/>
      <c r="E162" s="575"/>
      <c r="F162" s="575"/>
    </row>
    <row r="163" spans="1:6" ht="15.75" x14ac:dyDescent="0.25">
      <c r="A163" s="574" t="s">
        <v>34</v>
      </c>
      <c r="B163" s="574"/>
      <c r="C163" s="576" t="s">
        <v>28</v>
      </c>
      <c r="D163" s="576"/>
      <c r="E163" s="576"/>
      <c r="F163" s="576"/>
    </row>
    <row r="164" spans="1:6" ht="15.75" x14ac:dyDescent="0.25">
      <c r="A164" s="183"/>
      <c r="B164" s="183"/>
      <c r="C164" s="183"/>
      <c r="D164" s="184"/>
      <c r="E164" s="184"/>
      <c r="F164" s="185"/>
    </row>
    <row r="165" spans="1:6" ht="15.75" customHeight="1" x14ac:dyDescent="0.25">
      <c r="A165" s="570" t="s">
        <v>413</v>
      </c>
      <c r="B165" s="572"/>
      <c r="C165" s="572"/>
      <c r="D165" s="570" t="s">
        <v>414</v>
      </c>
      <c r="E165" s="572"/>
      <c r="F165" s="571"/>
    </row>
    <row r="166" spans="1:6" ht="15.75" customHeight="1" x14ac:dyDescent="0.25">
      <c r="A166" s="570" t="s">
        <v>415</v>
      </c>
      <c r="B166" s="572"/>
      <c r="C166" s="571"/>
      <c r="D166" s="570" t="s">
        <v>495</v>
      </c>
      <c r="E166" s="571"/>
      <c r="F166" s="577" t="s">
        <v>497</v>
      </c>
    </row>
    <row r="167" spans="1:6" ht="63" x14ac:dyDescent="0.25">
      <c r="A167" s="186" t="s">
        <v>416</v>
      </c>
      <c r="B167" s="186" t="s">
        <v>417</v>
      </c>
      <c r="C167" s="187" t="s">
        <v>418</v>
      </c>
      <c r="D167" s="186" t="s">
        <v>494</v>
      </c>
      <c r="E167" s="186" t="s">
        <v>496</v>
      </c>
      <c r="F167" s="577"/>
    </row>
    <row r="168" spans="1:6" ht="31.5" x14ac:dyDescent="0.25">
      <c r="A168" s="188">
        <v>12</v>
      </c>
      <c r="B168" s="188" t="s">
        <v>561</v>
      </c>
      <c r="C168" s="12"/>
      <c r="D168" s="189">
        <v>18670.79</v>
      </c>
      <c r="E168" s="190">
        <v>18619.740000000002</v>
      </c>
      <c r="F168" s="191">
        <f>IFERROR(E168/D168*100-100,0)</f>
        <v>-0.27342174594646451</v>
      </c>
    </row>
    <row r="169" spans="1:6" ht="15.75" x14ac:dyDescent="0.25">
      <c r="A169" s="569" t="s">
        <v>0</v>
      </c>
      <c r="B169" s="569"/>
      <c r="C169" s="569"/>
      <c r="D169" s="194">
        <v>18670.79</v>
      </c>
      <c r="E169" s="194">
        <f>SUM(E168:E168)</f>
        <v>18619.740000000002</v>
      </c>
      <c r="F169" s="194">
        <f>IFERROR(E169/D169*100-100,0)</f>
        <v>-0.27342174594646451</v>
      </c>
    </row>
    <row r="170" spans="1:6" ht="15.75" x14ac:dyDescent="0.25">
      <c r="A170" s="195"/>
      <c r="B170" s="195"/>
      <c r="C170" s="195"/>
      <c r="D170" s="196"/>
      <c r="E170" s="196"/>
      <c r="F170" s="197"/>
    </row>
    <row r="171" spans="1:6" ht="15.75" x14ac:dyDescent="0.25">
      <c r="A171" s="573" t="s">
        <v>419</v>
      </c>
      <c r="B171" s="574"/>
      <c r="C171" s="575" t="s">
        <v>490</v>
      </c>
      <c r="D171" s="575"/>
      <c r="E171" s="575"/>
      <c r="F171" s="575"/>
    </row>
    <row r="172" spans="1:6" ht="15.75" x14ac:dyDescent="0.25">
      <c r="A172" s="574" t="s">
        <v>34</v>
      </c>
      <c r="B172" s="574"/>
      <c r="C172" s="576" t="s">
        <v>109</v>
      </c>
      <c r="D172" s="576"/>
      <c r="E172" s="576"/>
      <c r="F172" s="576"/>
    </row>
    <row r="173" spans="1:6" ht="15.75" x14ac:dyDescent="0.25">
      <c r="A173" s="183"/>
      <c r="B173" s="183"/>
      <c r="C173" s="183"/>
      <c r="D173" s="184"/>
      <c r="E173" s="184"/>
      <c r="F173" s="185"/>
    </row>
    <row r="174" spans="1:6" ht="15.75" customHeight="1" x14ac:dyDescent="0.25">
      <c r="A174" s="570" t="s">
        <v>413</v>
      </c>
      <c r="B174" s="572"/>
      <c r="C174" s="572"/>
      <c r="D174" s="570" t="s">
        <v>414</v>
      </c>
      <c r="E174" s="572"/>
      <c r="F174" s="571"/>
    </row>
    <row r="175" spans="1:6" ht="15.75" customHeight="1" x14ac:dyDescent="0.25">
      <c r="A175" s="570" t="s">
        <v>415</v>
      </c>
      <c r="B175" s="572"/>
      <c r="C175" s="571"/>
      <c r="D175" s="570" t="s">
        <v>495</v>
      </c>
      <c r="E175" s="571"/>
      <c r="F175" s="577" t="s">
        <v>497</v>
      </c>
    </row>
    <row r="176" spans="1:6" ht="63" x14ac:dyDescent="0.25">
      <c r="A176" s="186" t="s">
        <v>416</v>
      </c>
      <c r="B176" s="186" t="s">
        <v>417</v>
      </c>
      <c r="C176" s="187" t="s">
        <v>418</v>
      </c>
      <c r="D176" s="186" t="s">
        <v>494</v>
      </c>
      <c r="E176" s="186" t="s">
        <v>496</v>
      </c>
      <c r="F176" s="577"/>
    </row>
    <row r="177" spans="1:6" ht="31.5" x14ac:dyDescent="0.25">
      <c r="A177" s="188">
        <v>12</v>
      </c>
      <c r="B177" s="12" t="s">
        <v>563</v>
      </c>
      <c r="C177" s="12"/>
      <c r="D177" s="189">
        <v>8158.23</v>
      </c>
      <c r="E177" s="189">
        <f>'Diretrizes - Resumo'!AN4</f>
        <v>10130.86</v>
      </c>
      <c r="F177" s="191">
        <f>IFERROR(E177/D177*100-100,0)</f>
        <v>24.179632101571059</v>
      </c>
    </row>
    <row r="178" spans="1:6" ht="15.75" x14ac:dyDescent="0.25">
      <c r="A178" s="569" t="s">
        <v>0</v>
      </c>
      <c r="B178" s="569"/>
      <c r="C178" s="569"/>
      <c r="D178" s="194">
        <f>SUM(D177:D177)</f>
        <v>8158.23</v>
      </c>
      <c r="E178" s="194">
        <f>SUM(E177:E177)</f>
        <v>10130.86</v>
      </c>
      <c r="F178" s="194">
        <f>IFERROR(E178/D178*100-100,0)</f>
        <v>24.179632101571059</v>
      </c>
    </row>
    <row r="179" spans="1:6" ht="15.75" x14ac:dyDescent="0.25">
      <c r="A179" s="195"/>
      <c r="B179" s="195"/>
      <c r="C179" s="195"/>
      <c r="D179" s="196"/>
      <c r="E179" s="196"/>
      <c r="F179" s="197"/>
    </row>
    <row r="180" spans="1:6" ht="15.75" x14ac:dyDescent="0.25">
      <c r="A180" s="573" t="s">
        <v>419</v>
      </c>
      <c r="B180" s="574"/>
      <c r="C180" s="575" t="s">
        <v>491</v>
      </c>
      <c r="D180" s="575"/>
      <c r="E180" s="575"/>
      <c r="F180" s="575"/>
    </row>
    <row r="181" spans="1:6" ht="15.75" x14ac:dyDescent="0.25">
      <c r="A181" s="574" t="s">
        <v>34</v>
      </c>
      <c r="B181" s="574"/>
      <c r="C181" s="576" t="s">
        <v>20</v>
      </c>
      <c r="D181" s="576"/>
      <c r="E181" s="576"/>
      <c r="F181" s="576"/>
    </row>
    <row r="182" spans="1:6" ht="15.75" x14ac:dyDescent="0.25">
      <c r="A182" s="183"/>
      <c r="B182" s="183"/>
      <c r="C182" s="183"/>
      <c r="D182" s="184"/>
      <c r="E182" s="184"/>
      <c r="F182" s="185"/>
    </row>
    <row r="183" spans="1:6" ht="15.75" customHeight="1" x14ac:dyDescent="0.25">
      <c r="A183" s="570" t="s">
        <v>413</v>
      </c>
      <c r="B183" s="572"/>
      <c r="C183" s="572"/>
      <c r="D183" s="570" t="s">
        <v>414</v>
      </c>
      <c r="E183" s="572"/>
      <c r="F183" s="571"/>
    </row>
    <row r="184" spans="1:6" ht="15.75" customHeight="1" x14ac:dyDescent="0.25">
      <c r="A184" s="570" t="s">
        <v>415</v>
      </c>
      <c r="B184" s="572"/>
      <c r="C184" s="571"/>
      <c r="D184" s="570" t="s">
        <v>495</v>
      </c>
      <c r="E184" s="571"/>
      <c r="F184" s="577" t="s">
        <v>497</v>
      </c>
    </row>
    <row r="185" spans="1:6" ht="63" x14ac:dyDescent="0.25">
      <c r="A185" s="186" t="s">
        <v>416</v>
      </c>
      <c r="B185" s="186" t="s">
        <v>417</v>
      </c>
      <c r="C185" s="187" t="s">
        <v>418</v>
      </c>
      <c r="D185" s="186" t="s">
        <v>494</v>
      </c>
      <c r="E185" s="186" t="s">
        <v>496</v>
      </c>
      <c r="F185" s="577"/>
    </row>
    <row r="186" spans="1:6" ht="31.5" x14ac:dyDescent="0.25">
      <c r="A186" s="188">
        <v>12</v>
      </c>
      <c r="B186" s="12" t="s">
        <v>564</v>
      </c>
      <c r="C186" s="12"/>
      <c r="D186" s="189">
        <v>57886.45</v>
      </c>
      <c r="E186" s="189">
        <f>'Diretrizes - Resumo'!AN3</f>
        <v>79935.990000000005</v>
      </c>
      <c r="F186" s="191">
        <f>IFERROR(E186/D186*100-100,0)</f>
        <v>38.09102130118535</v>
      </c>
    </row>
    <row r="187" spans="1:6" ht="15.75" x14ac:dyDescent="0.25">
      <c r="A187" s="569" t="s">
        <v>0</v>
      </c>
      <c r="B187" s="569"/>
      <c r="C187" s="569"/>
      <c r="D187" s="194">
        <f>SUM(D186:D186)</f>
        <v>57886.45</v>
      </c>
      <c r="E187" s="194">
        <f>SUM(E186:E186)</f>
        <v>79935.990000000005</v>
      </c>
      <c r="F187" s="194">
        <f>IFERROR(E187/D187*100-100,0)</f>
        <v>38.09102130118535</v>
      </c>
    </row>
    <row r="188" spans="1:6" ht="15.75" x14ac:dyDescent="0.25">
      <c r="A188" s="195"/>
      <c r="B188" s="195"/>
      <c r="C188" s="195"/>
      <c r="D188" s="196"/>
      <c r="E188" s="196"/>
      <c r="F188" s="197"/>
    </row>
    <row r="189" spans="1:6" ht="15.75" x14ac:dyDescent="0.25">
      <c r="A189" s="573" t="s">
        <v>419</v>
      </c>
      <c r="B189" s="574"/>
      <c r="C189" s="575" t="s">
        <v>492</v>
      </c>
      <c r="D189" s="575"/>
      <c r="E189" s="575"/>
      <c r="F189" s="575"/>
    </row>
    <row r="190" spans="1:6" ht="15.75" x14ac:dyDescent="0.25">
      <c r="A190" s="574" t="s">
        <v>34</v>
      </c>
      <c r="B190" s="574"/>
      <c r="C190" s="576" t="s">
        <v>28</v>
      </c>
      <c r="D190" s="576"/>
      <c r="E190" s="576"/>
      <c r="F190" s="576"/>
    </row>
    <row r="191" spans="1:6" ht="15.75" x14ac:dyDescent="0.25">
      <c r="A191" s="183"/>
      <c r="B191" s="183"/>
      <c r="C191" s="183"/>
      <c r="D191" s="184"/>
      <c r="E191" s="184"/>
      <c r="F191" s="185"/>
    </row>
    <row r="192" spans="1:6" ht="15.75" customHeight="1" x14ac:dyDescent="0.25">
      <c r="A192" s="570" t="s">
        <v>413</v>
      </c>
      <c r="B192" s="572"/>
      <c r="C192" s="572"/>
      <c r="D192" s="570" t="s">
        <v>414</v>
      </c>
      <c r="E192" s="572"/>
      <c r="F192" s="571"/>
    </row>
    <row r="193" spans="1:6" ht="15.75" customHeight="1" x14ac:dyDescent="0.25">
      <c r="A193" s="570" t="s">
        <v>415</v>
      </c>
      <c r="B193" s="572"/>
      <c r="C193" s="571"/>
      <c r="D193" s="570" t="s">
        <v>495</v>
      </c>
      <c r="E193" s="571"/>
      <c r="F193" s="577" t="s">
        <v>497</v>
      </c>
    </row>
    <row r="194" spans="1:6" ht="63" x14ac:dyDescent="0.25">
      <c r="A194" s="186" t="s">
        <v>416</v>
      </c>
      <c r="B194" s="186" t="s">
        <v>417</v>
      </c>
      <c r="C194" s="187" t="s">
        <v>418</v>
      </c>
      <c r="D194" s="186" t="s">
        <v>494</v>
      </c>
      <c r="E194" s="186" t="s">
        <v>496</v>
      </c>
      <c r="F194" s="577"/>
    </row>
    <row r="195" spans="1:6" ht="15.75" x14ac:dyDescent="0.25">
      <c r="A195" s="188">
        <v>1</v>
      </c>
      <c r="B195" s="188" t="s">
        <v>493</v>
      </c>
      <c r="C195" s="12"/>
      <c r="D195" s="189">
        <v>20000</v>
      </c>
      <c r="E195" s="190">
        <v>10000</v>
      </c>
      <c r="F195" s="191">
        <f>IFERROR(E195/D195*100-100,0)</f>
        <v>-50</v>
      </c>
    </row>
    <row r="196" spans="1:6" ht="15.75" x14ac:dyDescent="0.25">
      <c r="A196" s="569" t="s">
        <v>0</v>
      </c>
      <c r="B196" s="569"/>
      <c r="C196" s="569"/>
      <c r="D196" s="194">
        <f>SUM(D195:D195)</f>
        <v>20000</v>
      </c>
      <c r="E196" s="194">
        <f>SUM(E195:E195)</f>
        <v>10000</v>
      </c>
      <c r="F196" s="194">
        <f>IFERROR(E196/D196*100-100,0)</f>
        <v>-50</v>
      </c>
    </row>
    <row r="197" spans="1:6" ht="15.75" x14ac:dyDescent="0.25">
      <c r="A197" s="195"/>
      <c r="B197" s="195"/>
      <c r="C197" s="195"/>
      <c r="D197" s="196"/>
      <c r="E197" s="196"/>
      <c r="F197" s="197"/>
    </row>
    <row r="198" spans="1:6" ht="15.75" x14ac:dyDescent="0.25">
      <c r="A198" s="195"/>
      <c r="B198" s="195"/>
      <c r="C198" s="195"/>
      <c r="D198" s="199">
        <f>D196+D187+D178+D169+D160+D145+D130+D118+D108+D99+D90+D74+D56+D41</f>
        <v>1658540.58</v>
      </c>
      <c r="E198" s="199">
        <f>E196+E187+E178+E169+E160+E145+E130+E118+E108+E99+E90+E74+E56+E41</f>
        <v>1762403.34</v>
      </c>
      <c r="F198" s="197"/>
    </row>
    <row r="199" spans="1:6" ht="15.75" x14ac:dyDescent="0.25">
      <c r="A199" s="6"/>
      <c r="B199" s="6"/>
      <c r="C199" s="6"/>
      <c r="D199" s="6"/>
      <c r="E199" s="6"/>
      <c r="F199" s="6"/>
    </row>
    <row r="200" spans="1:6" ht="15.75" x14ac:dyDescent="0.25">
      <c r="A200" s="6"/>
      <c r="B200" s="6"/>
      <c r="C200" s="6"/>
      <c r="D200" s="6"/>
      <c r="E200" s="6"/>
      <c r="F200" s="6"/>
    </row>
    <row r="201" spans="1:6" ht="15.75" x14ac:dyDescent="0.25">
      <c r="A201" s="6"/>
      <c r="B201" s="6"/>
      <c r="C201" s="6"/>
      <c r="D201" s="6"/>
      <c r="E201" s="6"/>
      <c r="F201" s="6"/>
    </row>
    <row r="202" spans="1:6" ht="15.75" x14ac:dyDescent="0.25">
      <c r="A202" s="6"/>
      <c r="B202" s="6"/>
      <c r="C202" s="6"/>
      <c r="D202" s="6"/>
      <c r="E202" s="6"/>
      <c r="F202" s="6"/>
    </row>
    <row r="203" spans="1:6" ht="15.75" x14ac:dyDescent="0.25">
      <c r="A203" s="6"/>
      <c r="B203" s="6"/>
      <c r="C203" s="6"/>
      <c r="D203" s="6"/>
      <c r="E203" s="6"/>
      <c r="F203" s="6"/>
    </row>
    <row r="204" spans="1:6" ht="15.75" x14ac:dyDescent="0.25">
      <c r="A204" s="6"/>
      <c r="B204" s="6"/>
      <c r="C204" s="6"/>
      <c r="D204" s="6"/>
      <c r="E204" s="6"/>
      <c r="F204" s="6"/>
    </row>
    <row r="205" spans="1:6" ht="15.75" x14ac:dyDescent="0.25">
      <c r="A205" s="6"/>
      <c r="B205" s="6"/>
      <c r="C205" s="6"/>
      <c r="D205" s="6"/>
      <c r="E205" s="6"/>
      <c r="F205" s="6"/>
    </row>
    <row r="206" spans="1:6" ht="15.75" x14ac:dyDescent="0.25">
      <c r="A206" s="6"/>
      <c r="B206" s="6"/>
      <c r="C206" s="6"/>
      <c r="D206" s="6"/>
      <c r="E206" s="6"/>
      <c r="F206" s="6"/>
    </row>
    <row r="207" spans="1:6" ht="15.75" x14ac:dyDescent="0.25">
      <c r="A207" s="6"/>
      <c r="B207" s="6"/>
      <c r="C207" s="6"/>
      <c r="D207" s="6"/>
      <c r="E207" s="6"/>
      <c r="F207" s="6"/>
    </row>
    <row r="208" spans="1:6" ht="15.75" x14ac:dyDescent="0.25">
      <c r="A208" s="6"/>
      <c r="B208" s="6"/>
      <c r="C208" s="6"/>
      <c r="D208" s="6"/>
      <c r="E208" s="6"/>
      <c r="F208" s="6"/>
    </row>
    <row r="209" spans="1:6" ht="15.75" x14ac:dyDescent="0.25">
      <c r="A209" s="6"/>
      <c r="B209" s="6"/>
      <c r="C209" s="6"/>
      <c r="D209" s="6"/>
      <c r="E209" s="6"/>
      <c r="F209" s="6"/>
    </row>
  </sheetData>
  <mergeCells count="141">
    <mergeCell ref="A1:F1"/>
    <mergeCell ref="A2:B2"/>
    <mergeCell ref="C2:F2"/>
    <mergeCell ref="A41:C41"/>
    <mergeCell ref="A43:B43"/>
    <mergeCell ref="C43:F43"/>
    <mergeCell ref="A44:B44"/>
    <mergeCell ref="C44:F44"/>
    <mergeCell ref="A3:B3"/>
    <mergeCell ref="C3:F3"/>
    <mergeCell ref="A5:C5"/>
    <mergeCell ref="D5:F5"/>
    <mergeCell ref="A6:C6"/>
    <mergeCell ref="F6:F7"/>
    <mergeCell ref="A56:C56"/>
    <mergeCell ref="A58:B58"/>
    <mergeCell ref="C58:F58"/>
    <mergeCell ref="A59:B59"/>
    <mergeCell ref="C59:F59"/>
    <mergeCell ref="A61:C61"/>
    <mergeCell ref="D61:F61"/>
    <mergeCell ref="A46:C46"/>
    <mergeCell ref="D46:F46"/>
    <mergeCell ref="A47:C47"/>
    <mergeCell ref="F47:F48"/>
    <mergeCell ref="A74:C74"/>
    <mergeCell ref="A76:B76"/>
    <mergeCell ref="C76:F76"/>
    <mergeCell ref="A77:B77"/>
    <mergeCell ref="C77:F77"/>
    <mergeCell ref="A79:C79"/>
    <mergeCell ref="D79:F79"/>
    <mergeCell ref="A62:C62"/>
    <mergeCell ref="F62:F63"/>
    <mergeCell ref="A90:C90"/>
    <mergeCell ref="A92:B92"/>
    <mergeCell ref="C92:F92"/>
    <mergeCell ref="A93:B93"/>
    <mergeCell ref="C93:F93"/>
    <mergeCell ref="A95:C95"/>
    <mergeCell ref="D95:F95"/>
    <mergeCell ref="A80:C80"/>
    <mergeCell ref="F80:F81"/>
    <mergeCell ref="F105:F106"/>
    <mergeCell ref="A99:C99"/>
    <mergeCell ref="A101:B101"/>
    <mergeCell ref="C101:F101"/>
    <mergeCell ref="A102:B102"/>
    <mergeCell ref="C102:F102"/>
    <mergeCell ref="A104:C104"/>
    <mergeCell ref="D104:F104"/>
    <mergeCell ref="A96:C96"/>
    <mergeCell ref="F96:F97"/>
    <mergeCell ref="F124:F125"/>
    <mergeCell ref="A118:C118"/>
    <mergeCell ref="A120:B120"/>
    <mergeCell ref="C120:F120"/>
    <mergeCell ref="A121:B121"/>
    <mergeCell ref="C121:F121"/>
    <mergeCell ref="A123:C123"/>
    <mergeCell ref="D123:F123"/>
    <mergeCell ref="A114:C114"/>
    <mergeCell ref="F114:F115"/>
    <mergeCell ref="F136:F137"/>
    <mergeCell ref="D136:E136"/>
    <mergeCell ref="A130:C130"/>
    <mergeCell ref="A132:B132"/>
    <mergeCell ref="C132:F132"/>
    <mergeCell ref="A133:B133"/>
    <mergeCell ref="C133:F133"/>
    <mergeCell ref="A135:C135"/>
    <mergeCell ref="D135:F135"/>
    <mergeCell ref="F151:F152"/>
    <mergeCell ref="D151:E151"/>
    <mergeCell ref="A145:C145"/>
    <mergeCell ref="A147:B147"/>
    <mergeCell ref="C147:F147"/>
    <mergeCell ref="A148:B148"/>
    <mergeCell ref="C148:F148"/>
    <mergeCell ref="A150:C150"/>
    <mergeCell ref="D150:F150"/>
    <mergeCell ref="F166:F167"/>
    <mergeCell ref="D166:E166"/>
    <mergeCell ref="A160:C160"/>
    <mergeCell ref="A162:B162"/>
    <mergeCell ref="C162:F162"/>
    <mergeCell ref="A163:B163"/>
    <mergeCell ref="C163:F163"/>
    <mergeCell ref="A165:C165"/>
    <mergeCell ref="D165:F165"/>
    <mergeCell ref="F175:F176"/>
    <mergeCell ref="D175:E175"/>
    <mergeCell ref="A169:C169"/>
    <mergeCell ref="A171:B171"/>
    <mergeCell ref="C171:F171"/>
    <mergeCell ref="A172:B172"/>
    <mergeCell ref="C172:F172"/>
    <mergeCell ref="A174:C174"/>
    <mergeCell ref="D174:F174"/>
    <mergeCell ref="F184:F185"/>
    <mergeCell ref="D184:E184"/>
    <mergeCell ref="A178:C178"/>
    <mergeCell ref="A180:B180"/>
    <mergeCell ref="C180:F180"/>
    <mergeCell ref="A181:B181"/>
    <mergeCell ref="C181:F181"/>
    <mergeCell ref="A183:C183"/>
    <mergeCell ref="D183:F183"/>
    <mergeCell ref="F193:F194"/>
    <mergeCell ref="D193:E193"/>
    <mergeCell ref="A187:C187"/>
    <mergeCell ref="A189:B189"/>
    <mergeCell ref="C189:F189"/>
    <mergeCell ref="A190:B190"/>
    <mergeCell ref="C190:F190"/>
    <mergeCell ref="A192:C192"/>
    <mergeCell ref="D192:F192"/>
    <mergeCell ref="A196:C196"/>
    <mergeCell ref="D6:E6"/>
    <mergeCell ref="D47:E47"/>
    <mergeCell ref="D62:E62"/>
    <mergeCell ref="D80:E80"/>
    <mergeCell ref="D96:E96"/>
    <mergeCell ref="D105:E105"/>
    <mergeCell ref="D114:E114"/>
    <mergeCell ref="D124:E124"/>
    <mergeCell ref="A193:C193"/>
    <mergeCell ref="A184:C184"/>
    <mergeCell ref="A175:C175"/>
    <mergeCell ref="A166:C166"/>
    <mergeCell ref="A151:C151"/>
    <mergeCell ref="A136:C136"/>
    <mergeCell ref="A124:C124"/>
    <mergeCell ref="A108:C108"/>
    <mergeCell ref="A110:B110"/>
    <mergeCell ref="C110:F110"/>
    <mergeCell ref="A111:B111"/>
    <mergeCell ref="C111:F111"/>
    <mergeCell ref="A113:C113"/>
    <mergeCell ref="D113:F113"/>
    <mergeCell ref="A105:C10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R36"/>
  <sheetViews>
    <sheetView showGridLines="0" topLeftCell="A2" zoomScale="120" zoomScaleNormal="120" workbookViewId="0">
      <pane xSplit="1" ySplit="2" topLeftCell="AJ4" activePane="bottomRight" state="frozen"/>
      <selection activeCell="E68" sqref="E68"/>
      <selection pane="topRight" activeCell="E68" sqref="E68"/>
      <selection pane="bottomLeft" activeCell="E68" sqref="E68"/>
      <selection pane="bottomRight" activeCell="AM25" sqref="AM25"/>
    </sheetView>
  </sheetViews>
  <sheetFormatPr defaultRowHeight="15.75" zeroHeight="1" outlineLevelCol="1" x14ac:dyDescent="0.25"/>
  <cols>
    <col min="1" max="1" width="13.28515625" style="27" hidden="1" customWidth="1" outlineLevel="1"/>
    <col min="2" max="2" width="15.42578125" style="26" hidden="1" customWidth="1" outlineLevel="1"/>
    <col min="3" max="9" width="15.5703125" style="26" hidden="1" customWidth="1" outlineLevel="1"/>
    <col min="10" max="10" width="16.140625" style="24" hidden="1" customWidth="1" outlineLevel="1"/>
    <col min="11" max="11" width="13.28515625" style="25" hidden="1" customWidth="1" outlineLevel="1"/>
    <col min="12" max="14" width="15.42578125" style="24" hidden="1" customWidth="1" outlineLevel="1"/>
    <col min="15" max="15" width="2.28515625" style="24" hidden="1" customWidth="1" outlineLevel="1"/>
    <col min="16" max="17" width="16.42578125" style="24" hidden="1" customWidth="1" outlineLevel="1"/>
    <col min="18" max="18" width="5.7109375" style="23" hidden="1" customWidth="1" outlineLevel="1"/>
    <col min="19" max="19" width="15.42578125" style="24" hidden="1" customWidth="1" outlineLevel="1"/>
    <col min="20" max="20" width="2.85546875" style="23" hidden="1" customWidth="1" outlineLevel="1"/>
    <col min="21" max="21" width="16.140625" style="24" hidden="1" customWidth="1" outlineLevel="1"/>
    <col min="22" max="22" width="2.85546875" style="23" hidden="1" customWidth="1" outlineLevel="1"/>
    <col min="23" max="23" width="16.42578125" style="21" hidden="1" customWidth="1" outlineLevel="1"/>
    <col min="24" max="24" width="19.85546875" style="21" hidden="1" customWidth="1" outlineLevel="1"/>
    <col min="25" max="25" width="16.42578125" style="22" hidden="1" customWidth="1" outlineLevel="1"/>
    <col min="26" max="26" width="16.42578125" style="21" hidden="1" customWidth="1" outlineLevel="1"/>
    <col min="27" max="27" width="16.42578125" style="22" hidden="1" customWidth="1" outlineLevel="1"/>
    <col min="28" max="28" width="16.42578125" style="21" hidden="1" customWidth="1" outlineLevel="1"/>
    <col min="29" max="29" width="2.85546875" style="4" hidden="1" customWidth="1" outlineLevel="1"/>
    <col min="30" max="30" width="11.28515625" style="4" hidden="1" customWidth="1" outlineLevel="1"/>
    <col min="31" max="31" width="3.28515625" style="4" hidden="1" customWidth="1" outlineLevel="1"/>
    <col min="32" max="32" width="18.85546875" style="4" hidden="1" customWidth="1" outlineLevel="1"/>
    <col min="33" max="33" width="4.7109375" style="4" hidden="1" customWidth="1" outlineLevel="1"/>
    <col min="34" max="34" width="18.85546875" style="21" hidden="1" customWidth="1" outlineLevel="1"/>
    <col min="35" max="35" width="9.85546875" style="4" hidden="1" customWidth="1" outlineLevel="1"/>
    <col min="36" max="36" width="39.140625" style="6" bestFit="1" customWidth="1" collapsed="1"/>
    <col min="37" max="37" width="15.7109375" style="6" bestFit="1" customWidth="1"/>
    <col min="38" max="38" width="1" style="4" customWidth="1"/>
    <col min="39" max="39" width="39" style="6" bestFit="1" customWidth="1"/>
    <col min="40" max="40" width="15.5703125" style="4" bestFit="1" customWidth="1"/>
    <col min="41" max="43" width="9.140625" style="4"/>
    <col min="44" max="44" width="12.42578125" style="4" bestFit="1" customWidth="1"/>
    <col min="45" max="16384" width="9.140625" style="4"/>
  </cols>
  <sheetData>
    <row r="1" spans="1:44" ht="16.5" hidden="1" customHeight="1" thickBot="1" x14ac:dyDescent="0.3">
      <c r="A1" s="581" t="s">
        <v>375</v>
      </c>
      <c r="B1" s="582">
        <v>0.8</v>
      </c>
      <c r="C1" s="582"/>
      <c r="D1" s="582"/>
      <c r="E1" s="582"/>
      <c r="F1" s="582"/>
      <c r="G1" s="582"/>
      <c r="H1" s="582"/>
      <c r="I1" s="582"/>
      <c r="J1" s="582"/>
      <c r="L1" s="588" t="s">
        <v>374</v>
      </c>
      <c r="M1" s="589"/>
      <c r="N1" s="590"/>
      <c r="P1" s="589" t="s">
        <v>373</v>
      </c>
      <c r="Q1" s="589"/>
      <c r="S1" s="589" t="s">
        <v>372</v>
      </c>
      <c r="U1" s="589" t="s">
        <v>371</v>
      </c>
      <c r="W1" s="582" t="s">
        <v>370</v>
      </c>
      <c r="X1" s="582"/>
      <c r="Y1" s="582"/>
      <c r="Z1" s="582"/>
      <c r="AA1" s="582"/>
      <c r="AB1" s="582"/>
    </row>
    <row r="2" spans="1:44" s="59" customFormat="1" ht="16.5" thickBot="1" x14ac:dyDescent="0.3">
      <c r="A2" s="581"/>
      <c r="B2" s="583" t="s">
        <v>368</v>
      </c>
      <c r="C2" s="583"/>
      <c r="D2" s="583"/>
      <c r="E2" s="583" t="s">
        <v>367</v>
      </c>
      <c r="F2" s="583"/>
      <c r="G2" s="583"/>
      <c r="H2" s="584" t="s">
        <v>366</v>
      </c>
      <c r="I2" s="584" t="s">
        <v>369</v>
      </c>
      <c r="J2" s="587" t="s">
        <v>376</v>
      </c>
      <c r="K2" s="65"/>
      <c r="L2" s="591"/>
      <c r="M2" s="592"/>
      <c r="N2" s="593"/>
      <c r="O2" s="64"/>
      <c r="P2" s="592"/>
      <c r="Q2" s="592"/>
      <c r="R2" s="63"/>
      <c r="S2" s="592"/>
      <c r="T2" s="63"/>
      <c r="U2" s="592"/>
      <c r="V2" s="63"/>
      <c r="W2" s="583" t="s">
        <v>368</v>
      </c>
      <c r="X2" s="583"/>
      <c r="Y2" s="583"/>
      <c r="Z2" s="583" t="s">
        <v>367</v>
      </c>
      <c r="AA2" s="583"/>
      <c r="AB2" s="62" t="s">
        <v>366</v>
      </c>
      <c r="AD2" s="594" t="s">
        <v>340</v>
      </c>
      <c r="AF2" s="594" t="s">
        <v>365</v>
      </c>
      <c r="AH2" s="586" t="s">
        <v>395</v>
      </c>
      <c r="AJ2" s="61" t="s">
        <v>364</v>
      </c>
      <c r="AK2" s="60" t="str">
        <f>'Indicadores e Metas'!B5</f>
        <v>PI</v>
      </c>
      <c r="AM2" s="579" t="s">
        <v>363</v>
      </c>
      <c r="AN2" s="580"/>
    </row>
    <row r="3" spans="1:44" s="48" customFormat="1" ht="17.25" customHeight="1" thickBot="1" x14ac:dyDescent="0.3">
      <c r="A3" s="581"/>
      <c r="B3" s="56" t="s">
        <v>362</v>
      </c>
      <c r="C3" s="56" t="s">
        <v>361</v>
      </c>
      <c r="D3" s="56" t="s">
        <v>360</v>
      </c>
      <c r="E3" s="56" t="s">
        <v>362</v>
      </c>
      <c r="F3" s="56" t="s">
        <v>361</v>
      </c>
      <c r="G3" s="56" t="s">
        <v>360</v>
      </c>
      <c r="H3" s="585"/>
      <c r="I3" s="585"/>
      <c r="J3" s="585"/>
      <c r="K3" s="58"/>
      <c r="L3" s="56" t="s">
        <v>359</v>
      </c>
      <c r="M3" s="56" t="s">
        <v>358</v>
      </c>
      <c r="N3" s="56" t="s">
        <v>357</v>
      </c>
      <c r="O3" s="57"/>
      <c r="P3" s="68" t="s">
        <v>356</v>
      </c>
      <c r="Q3" s="68" t="s">
        <v>355</v>
      </c>
      <c r="R3" s="54"/>
      <c r="S3" s="55" t="s">
        <v>354</v>
      </c>
      <c r="T3" s="54"/>
      <c r="U3" s="55" t="s">
        <v>353</v>
      </c>
      <c r="V3" s="54"/>
      <c r="W3" s="53" t="s">
        <v>377</v>
      </c>
      <c r="X3" s="53" t="s">
        <v>378</v>
      </c>
      <c r="Y3" s="51" t="s">
        <v>352</v>
      </c>
      <c r="Z3" s="52" t="s">
        <v>351</v>
      </c>
      <c r="AA3" s="51" t="s">
        <v>352</v>
      </c>
      <c r="AB3" s="50" t="s">
        <v>351</v>
      </c>
      <c r="AD3" s="595"/>
      <c r="AF3" s="595"/>
      <c r="AH3" s="586"/>
      <c r="AJ3" s="43" t="s">
        <v>8</v>
      </c>
      <c r="AK3" s="49">
        <f>AK4+AK14+AK15+AK16</f>
        <v>1439060.1600000001</v>
      </c>
      <c r="AM3" s="43" t="s">
        <v>350</v>
      </c>
      <c r="AN3" s="42">
        <f>ROUND(VLOOKUP($AK$2,'Diretrizes - Resumo'!$A$4:$Q$30,16,),2)</f>
        <v>79935.990000000005</v>
      </c>
    </row>
    <row r="4" spans="1:44" ht="16.5" thickBot="1" x14ac:dyDescent="0.3">
      <c r="A4" s="33" t="s">
        <v>349</v>
      </c>
      <c r="B4" s="26">
        <v>173232.09</v>
      </c>
      <c r="C4" s="26">
        <v>40815.03</v>
      </c>
      <c r="D4" s="26">
        <f t="shared" ref="D4" si="0">B4+C4</f>
        <v>214047.12</v>
      </c>
      <c r="E4" s="26">
        <v>22368.2</v>
      </c>
      <c r="F4" s="26">
        <v>10405.58</v>
      </c>
      <c r="G4" s="26">
        <f t="shared" ref="G4" si="1">E4+F4</f>
        <v>32773.78</v>
      </c>
      <c r="H4" s="26">
        <v>247987.10000000003</v>
      </c>
      <c r="I4" s="26">
        <v>28255.510000000002</v>
      </c>
      <c r="J4" s="32">
        <f t="shared" ref="J4:J30" si="2">I4+H4+G4+D4</f>
        <v>523063.51</v>
      </c>
      <c r="K4" s="66">
        <v>0</v>
      </c>
      <c r="L4" s="26">
        <v>7238.42</v>
      </c>
      <c r="M4" s="26">
        <v>17240</v>
      </c>
      <c r="N4" s="26">
        <v>728722.33</v>
      </c>
      <c r="P4" s="26">
        <v>36840.54</v>
      </c>
      <c r="Q4" s="26">
        <v>4804.0299999999988</v>
      </c>
      <c r="R4" s="67">
        <v>2082.6460574324519</v>
      </c>
      <c r="S4" s="26"/>
      <c r="U4" s="26">
        <v>2525.4</v>
      </c>
      <c r="W4" s="30">
        <v>720</v>
      </c>
      <c r="X4" s="30">
        <v>709</v>
      </c>
      <c r="Y4" s="31">
        <v>32.157968970380821</v>
      </c>
      <c r="Z4" s="30">
        <v>172</v>
      </c>
      <c r="AA4" s="31">
        <v>51.744186046511622</v>
      </c>
      <c r="AB4" s="30">
        <v>2852</v>
      </c>
      <c r="AD4" s="23">
        <v>115.00776635815461</v>
      </c>
      <c r="AF4" s="23">
        <v>696237.88</v>
      </c>
      <c r="AG4" s="59"/>
      <c r="AH4" s="126">
        <v>906876</v>
      </c>
      <c r="AJ4" s="37" t="s">
        <v>76</v>
      </c>
      <c r="AK4" s="47">
        <f>AK5+AK12+AK13</f>
        <v>1220972.51</v>
      </c>
      <c r="AM4" s="37" t="s">
        <v>348</v>
      </c>
      <c r="AN4" s="42">
        <f>ROUND(VLOOKUP($AK$2,'Diretrizes - Resumo'!$A$4:$Q$30,17,),2)</f>
        <v>10130.86</v>
      </c>
      <c r="AR4" s="29"/>
    </row>
    <row r="5" spans="1:44" ht="16.5" thickBot="1" x14ac:dyDescent="0.3">
      <c r="A5" s="33" t="s">
        <v>347</v>
      </c>
      <c r="B5" s="26">
        <v>558689.82999999996</v>
      </c>
      <c r="C5" s="26">
        <v>123638.42</v>
      </c>
      <c r="D5" s="26">
        <f t="shared" ref="D5:D30" si="3">B5+C5</f>
        <v>682328.25</v>
      </c>
      <c r="E5" s="26">
        <v>21671.61</v>
      </c>
      <c r="F5" s="26">
        <v>22976.79</v>
      </c>
      <c r="G5" s="26">
        <f t="shared" ref="G5:G30" si="4">E5+F5</f>
        <v>44648.4</v>
      </c>
      <c r="H5" s="26">
        <v>671443.34000000008</v>
      </c>
      <c r="I5" s="26">
        <v>65757.320000000007</v>
      </c>
      <c r="J5" s="32">
        <f t="shared" si="2"/>
        <v>1464177.31</v>
      </c>
      <c r="K5" s="66">
        <v>0</v>
      </c>
      <c r="L5" s="26">
        <v>20255</v>
      </c>
      <c r="M5" s="26"/>
      <c r="N5" s="26"/>
      <c r="P5" s="26">
        <v>103089.49</v>
      </c>
      <c r="Q5" s="26">
        <v>13352.900000000009</v>
      </c>
      <c r="R5" s="67">
        <v>6263.8948848366126</v>
      </c>
      <c r="S5" s="26"/>
      <c r="U5" s="26">
        <v>5973.45</v>
      </c>
      <c r="W5" s="30">
        <v>2206</v>
      </c>
      <c r="X5" s="30">
        <v>2118</v>
      </c>
      <c r="Y5" s="31">
        <v>27.478753541076486</v>
      </c>
      <c r="Z5" s="30">
        <v>174</v>
      </c>
      <c r="AA5" s="31">
        <v>51.149425287356323</v>
      </c>
      <c r="AB5" s="30">
        <v>7722</v>
      </c>
      <c r="AD5" s="23">
        <v>261.31984403102973</v>
      </c>
      <c r="AF5" s="23">
        <v>1113727.74</v>
      </c>
      <c r="AG5" s="23"/>
      <c r="AH5" s="126">
        <v>3365351</v>
      </c>
      <c r="AJ5" s="37" t="s">
        <v>9</v>
      </c>
      <c r="AK5" s="47">
        <f>AK6+AK9</f>
        <v>659338.05000000005</v>
      </c>
      <c r="AM5" s="37" t="s">
        <v>346</v>
      </c>
      <c r="AN5" s="42">
        <f>VLOOKUP($AK$2,'Diretrizes - Resumo'!$A$4:$S$30,19,)</f>
        <v>0</v>
      </c>
      <c r="AR5" s="29"/>
    </row>
    <row r="6" spans="1:44" ht="16.5" thickBot="1" x14ac:dyDescent="0.3">
      <c r="A6" s="33" t="s">
        <v>345</v>
      </c>
      <c r="B6" s="26">
        <v>564760.02</v>
      </c>
      <c r="C6" s="26">
        <v>146693.59999999998</v>
      </c>
      <c r="D6" s="26">
        <f t="shared" si="3"/>
        <v>711453.62</v>
      </c>
      <c r="E6" s="26">
        <v>38358.76</v>
      </c>
      <c r="F6" s="26">
        <v>25790.080000000002</v>
      </c>
      <c r="G6" s="26">
        <f t="shared" si="4"/>
        <v>64148.840000000004</v>
      </c>
      <c r="H6" s="26">
        <v>677529.99</v>
      </c>
      <c r="I6" s="26">
        <v>64497.72</v>
      </c>
      <c r="J6" s="32">
        <f t="shared" si="2"/>
        <v>1517630.17</v>
      </c>
      <c r="K6" s="66">
        <v>0</v>
      </c>
      <c r="L6" s="26">
        <v>21000.01</v>
      </c>
      <c r="M6" s="26"/>
      <c r="N6" s="26"/>
      <c r="P6" s="26">
        <v>106881.25</v>
      </c>
      <c r="Q6" s="26">
        <v>13558.5</v>
      </c>
      <c r="R6" s="67">
        <v>2356.5702117329347</v>
      </c>
      <c r="S6" s="26"/>
      <c r="U6" s="26">
        <v>5608.74</v>
      </c>
      <c r="W6" s="30">
        <v>2347</v>
      </c>
      <c r="X6" s="30">
        <v>2329</v>
      </c>
      <c r="Y6" s="31">
        <v>36.75397166165736</v>
      </c>
      <c r="Z6" s="30">
        <v>292</v>
      </c>
      <c r="AA6" s="31">
        <v>51.027397260273972</v>
      </c>
      <c r="AB6" s="30">
        <v>7792</v>
      </c>
      <c r="AD6" s="23">
        <v>88.887883239212556</v>
      </c>
      <c r="AF6" s="23">
        <v>1430910.1800000002</v>
      </c>
      <c r="AG6" s="23"/>
      <c r="AH6" s="126">
        <v>4269995</v>
      </c>
      <c r="AJ6" s="37" t="s">
        <v>10</v>
      </c>
      <c r="AK6" s="46">
        <f>SUM(AK7:AK8)</f>
        <v>573716.86</v>
      </c>
      <c r="AM6" s="37" t="s">
        <v>344</v>
      </c>
      <c r="AN6" s="42">
        <v>15705.81</v>
      </c>
      <c r="AR6" s="29"/>
    </row>
    <row r="7" spans="1:44" ht="16.5" thickBot="1" x14ac:dyDescent="0.3">
      <c r="A7" s="33" t="s">
        <v>343</v>
      </c>
      <c r="B7" s="26">
        <v>193991.7</v>
      </c>
      <c r="C7" s="26">
        <v>70623.45</v>
      </c>
      <c r="D7" s="26">
        <f t="shared" si="3"/>
        <v>264615.15000000002</v>
      </c>
      <c r="E7" s="26">
        <v>30504.54</v>
      </c>
      <c r="F7" s="26">
        <v>29503.100000000002</v>
      </c>
      <c r="G7" s="26">
        <f t="shared" si="4"/>
        <v>60007.64</v>
      </c>
      <c r="H7" s="26">
        <v>311896.82</v>
      </c>
      <c r="I7" s="26">
        <v>34372.410000000003</v>
      </c>
      <c r="J7" s="32">
        <f t="shared" si="2"/>
        <v>670892.02</v>
      </c>
      <c r="K7" s="66">
        <v>0</v>
      </c>
      <c r="L7" s="26">
        <v>9283.11</v>
      </c>
      <c r="M7" s="26">
        <v>18040</v>
      </c>
      <c r="N7" s="26">
        <v>643104.38</v>
      </c>
      <c r="P7" s="26">
        <v>47247.12</v>
      </c>
      <c r="Q7" s="26">
        <v>5981.6200000000026</v>
      </c>
      <c r="R7" s="67">
        <v>2365.2740616900119</v>
      </c>
      <c r="S7" s="26"/>
      <c r="U7" s="26">
        <v>2768.98</v>
      </c>
      <c r="W7" s="30">
        <v>883</v>
      </c>
      <c r="X7" s="30">
        <v>877</v>
      </c>
      <c r="Y7" s="31">
        <v>40.935005701254276</v>
      </c>
      <c r="Z7" s="30">
        <v>350</v>
      </c>
      <c r="AA7" s="31">
        <v>68.571428571428569</v>
      </c>
      <c r="AB7" s="30">
        <v>3587</v>
      </c>
      <c r="AD7" s="23">
        <v>47.094700225780528</v>
      </c>
      <c r="AF7" s="23">
        <v>827486.47</v>
      </c>
      <c r="AG7" s="23"/>
      <c r="AH7" s="126">
        <v>877613</v>
      </c>
      <c r="AJ7" s="44" t="s">
        <v>227</v>
      </c>
      <c r="AK7" s="42">
        <f>VLOOKUP($AK$2,'Diretrizes - Resumo'!$A$4:$I$30,2,)</f>
        <v>442813.01</v>
      </c>
      <c r="AM7" s="37" t="s">
        <v>342</v>
      </c>
      <c r="AN7" s="42">
        <f>VLOOKUP($AK$2,'Diretrizes - Resumo'!$A$4:$M$30,13,)</f>
        <v>16840</v>
      </c>
      <c r="AR7" s="29"/>
    </row>
    <row r="8" spans="1:44" ht="16.5" thickBot="1" x14ac:dyDescent="0.3">
      <c r="A8" s="33" t="s">
        <v>341</v>
      </c>
      <c r="B8" s="26">
        <v>1725578.2799999998</v>
      </c>
      <c r="C8" s="26">
        <v>369690.77</v>
      </c>
      <c r="D8" s="26">
        <f t="shared" si="3"/>
        <v>2095269.0499999998</v>
      </c>
      <c r="E8" s="26">
        <v>167980.97999999998</v>
      </c>
      <c r="F8" s="26">
        <v>99609.25</v>
      </c>
      <c r="G8" s="26">
        <f t="shared" si="4"/>
        <v>267590.23</v>
      </c>
      <c r="H8" s="26">
        <v>1628784.8599999999</v>
      </c>
      <c r="I8" s="26">
        <v>160121</v>
      </c>
      <c r="J8" s="32">
        <f t="shared" si="2"/>
        <v>4151765.1399999997</v>
      </c>
      <c r="K8" s="66">
        <v>0</v>
      </c>
      <c r="L8" s="26">
        <v>57457.43</v>
      </c>
      <c r="M8" s="26"/>
      <c r="N8" s="26"/>
      <c r="P8" s="26">
        <v>292434.27</v>
      </c>
      <c r="Q8" s="26">
        <v>38453.210000000021</v>
      </c>
      <c r="R8" s="67">
        <v>19530.691619223566</v>
      </c>
      <c r="S8" s="26"/>
      <c r="U8" s="26">
        <v>13509.03</v>
      </c>
      <c r="W8" s="30">
        <v>7436</v>
      </c>
      <c r="X8" s="30">
        <v>6633</v>
      </c>
      <c r="Y8" s="31">
        <v>27.031509121061362</v>
      </c>
      <c r="Z8" s="30">
        <v>1140</v>
      </c>
      <c r="AA8" s="31">
        <v>50.175438596491226</v>
      </c>
      <c r="AB8" s="30">
        <v>18732</v>
      </c>
      <c r="AD8" s="23">
        <v>986.80009534170483</v>
      </c>
      <c r="AF8" s="23">
        <v>8528035.5800000001</v>
      </c>
      <c r="AG8" s="23"/>
      <c r="AH8" s="126">
        <v>14985284</v>
      </c>
      <c r="AJ8" s="44" t="s">
        <v>74</v>
      </c>
      <c r="AK8" s="42">
        <f>VLOOKUP($AK$2,'Diretrizes - Resumo'!$A$4:$I$30,3,)</f>
        <v>130903.85</v>
      </c>
      <c r="AM8" s="37" t="s">
        <v>340</v>
      </c>
      <c r="AN8" s="42">
        <f>VLOOKUP($AK$2,$A$4:$AH$30,30,)</f>
        <v>68.489032478501628</v>
      </c>
      <c r="AR8" s="29"/>
    </row>
    <row r="9" spans="1:44" ht="16.5" thickBot="1" x14ac:dyDescent="0.3">
      <c r="A9" s="33" t="s">
        <v>339</v>
      </c>
      <c r="B9" s="26">
        <v>1150209.6499999999</v>
      </c>
      <c r="C9" s="26">
        <v>211350.33000000002</v>
      </c>
      <c r="D9" s="26">
        <f t="shared" si="3"/>
        <v>1361559.98</v>
      </c>
      <c r="E9" s="26">
        <v>83922</v>
      </c>
      <c r="F9" s="26">
        <v>56778.33</v>
      </c>
      <c r="G9" s="26">
        <f t="shared" si="4"/>
        <v>140700.33000000002</v>
      </c>
      <c r="H9" s="26">
        <v>1064727.24</v>
      </c>
      <c r="I9" s="26">
        <v>110694.43</v>
      </c>
      <c r="J9" s="32">
        <f t="shared" si="2"/>
        <v>2677681.98</v>
      </c>
      <c r="K9" s="66">
        <v>0</v>
      </c>
      <c r="L9" s="26">
        <v>36718.089999999997</v>
      </c>
      <c r="M9" s="26"/>
      <c r="N9" s="26"/>
      <c r="P9" s="26">
        <v>186879.71</v>
      </c>
      <c r="Q9" s="26">
        <v>24654.320000000007</v>
      </c>
      <c r="R9" s="67">
        <v>8177.4515212906117</v>
      </c>
      <c r="S9" s="26">
        <v>0</v>
      </c>
      <c r="U9" s="26">
        <v>8893.93</v>
      </c>
      <c r="W9" s="30">
        <v>4756</v>
      </c>
      <c r="X9" s="30">
        <v>4570</v>
      </c>
      <c r="Y9" s="31">
        <v>27.221006564551416</v>
      </c>
      <c r="Z9" s="30">
        <v>499</v>
      </c>
      <c r="AA9" s="31">
        <v>42.484969939879761</v>
      </c>
      <c r="AB9" s="30">
        <v>12245</v>
      </c>
      <c r="AD9" s="23">
        <v>711.67663768293392</v>
      </c>
      <c r="AF9" s="23">
        <v>2159474.11</v>
      </c>
      <c r="AG9" s="23"/>
      <c r="AH9" s="126">
        <v>9240580</v>
      </c>
      <c r="AJ9" s="37" t="s">
        <v>11</v>
      </c>
      <c r="AK9" s="45">
        <f>SUM(AK10:AK11)</f>
        <v>85621.19</v>
      </c>
      <c r="AM9" s="37" t="s">
        <v>663</v>
      </c>
      <c r="AN9" s="42">
        <f>VLOOKUP($AK$2,$A$4:$AF$30,32,)</f>
        <v>153232.93</v>
      </c>
      <c r="AR9" s="29"/>
    </row>
    <row r="10" spans="1:44" ht="16.5" thickBot="1" x14ac:dyDescent="0.3">
      <c r="A10" s="33" t="s">
        <v>338</v>
      </c>
      <c r="B10" s="26">
        <v>1763978.32</v>
      </c>
      <c r="C10" s="26">
        <v>394786.83999999997</v>
      </c>
      <c r="D10" s="26">
        <f t="shared" si="3"/>
        <v>2158765.16</v>
      </c>
      <c r="E10" s="26">
        <v>117069.78</v>
      </c>
      <c r="F10" s="26">
        <v>65835.460000000006</v>
      </c>
      <c r="G10" s="26">
        <f t="shared" si="4"/>
        <v>182905.24</v>
      </c>
      <c r="H10" s="26">
        <v>1640958.1500000001</v>
      </c>
      <c r="I10" s="26">
        <v>176003.27</v>
      </c>
      <c r="J10" s="32">
        <f t="shared" si="2"/>
        <v>4158631.8200000003</v>
      </c>
      <c r="K10" s="66">
        <v>0</v>
      </c>
      <c r="L10" s="26">
        <v>56724.06</v>
      </c>
      <c r="M10" s="26"/>
      <c r="N10" s="26"/>
      <c r="P10" s="26">
        <v>288701.74</v>
      </c>
      <c r="Q10" s="26">
        <v>42640.22000000003</v>
      </c>
      <c r="R10" s="67">
        <v>23460.586909131263</v>
      </c>
      <c r="S10" s="26"/>
      <c r="U10" s="26">
        <v>14886.09</v>
      </c>
      <c r="W10" s="30">
        <v>6854</v>
      </c>
      <c r="X10" s="30">
        <v>6327</v>
      </c>
      <c r="Y10" s="31">
        <v>26.173541963015651</v>
      </c>
      <c r="Z10" s="30">
        <v>924</v>
      </c>
      <c r="AA10" s="31">
        <v>50.324675324675319</v>
      </c>
      <c r="AB10" s="30">
        <v>18872</v>
      </c>
      <c r="AD10" s="23">
        <v>4022.6796926542056</v>
      </c>
      <c r="AF10" s="23">
        <v>1094071.98</v>
      </c>
      <c r="AG10" s="23"/>
      <c r="AH10" s="126">
        <v>3094325</v>
      </c>
      <c r="AJ10" s="44" t="s">
        <v>228</v>
      </c>
      <c r="AK10" s="42">
        <f>VLOOKUP($AK$2,'Diretrizes - Resumo'!$A$4:$J$30,5,)</f>
        <v>55194.75</v>
      </c>
      <c r="AR10" s="29"/>
    </row>
    <row r="11" spans="1:44" ht="16.5" thickBot="1" x14ac:dyDescent="0.3">
      <c r="A11" s="33" t="s">
        <v>337</v>
      </c>
      <c r="B11" s="26">
        <v>1418616.52</v>
      </c>
      <c r="C11" s="26">
        <v>230979.35</v>
      </c>
      <c r="D11" s="26">
        <f t="shared" si="3"/>
        <v>1649595.87</v>
      </c>
      <c r="E11" s="26">
        <v>99098.45</v>
      </c>
      <c r="F11" s="26">
        <v>20060.740000000002</v>
      </c>
      <c r="G11" s="26">
        <f t="shared" si="4"/>
        <v>119159.19</v>
      </c>
      <c r="H11" s="26">
        <v>1537311.36</v>
      </c>
      <c r="I11" s="26">
        <v>125197.05</v>
      </c>
      <c r="J11" s="32">
        <f t="shared" si="2"/>
        <v>3431263.47</v>
      </c>
      <c r="K11" s="66">
        <v>0</v>
      </c>
      <c r="L11" s="26">
        <v>45487.76</v>
      </c>
      <c r="M11" s="26"/>
      <c r="N11" s="26"/>
      <c r="P11" s="26">
        <v>231513.67</v>
      </c>
      <c r="Q11" s="26">
        <v>30143.880000000005</v>
      </c>
      <c r="R11" s="67">
        <v>13520.961779246718</v>
      </c>
      <c r="S11" s="26"/>
      <c r="U11" s="26">
        <v>11997.37</v>
      </c>
      <c r="W11" s="30">
        <v>4185</v>
      </c>
      <c r="X11" s="30">
        <v>4090</v>
      </c>
      <c r="Y11" s="31">
        <v>2.8361858190709057</v>
      </c>
      <c r="Z11" s="30">
        <v>484</v>
      </c>
      <c r="AA11" s="31">
        <v>23.760330578512395</v>
      </c>
      <c r="AB11" s="30">
        <v>17680</v>
      </c>
      <c r="AD11" s="23">
        <v>1005.4765789056474</v>
      </c>
      <c r="AF11" s="23">
        <v>2731556.54</v>
      </c>
      <c r="AG11" s="23"/>
      <c r="AH11" s="126">
        <v>4108508</v>
      </c>
      <c r="AJ11" s="44" t="s">
        <v>75</v>
      </c>
      <c r="AK11" s="42">
        <f>VLOOKUP($AK$2,'Diretrizes - Resumo'!$A$4:$I$30,6,)</f>
        <v>30426.440000000002</v>
      </c>
      <c r="AR11" s="29"/>
    </row>
    <row r="12" spans="1:44" ht="16.5" thickBot="1" x14ac:dyDescent="0.3">
      <c r="A12" s="33" t="s">
        <v>335</v>
      </c>
      <c r="B12" s="26">
        <v>1363273.9700000002</v>
      </c>
      <c r="C12" s="26">
        <v>317093.52</v>
      </c>
      <c r="D12" s="26">
        <f t="shared" si="3"/>
        <v>1680367.4900000002</v>
      </c>
      <c r="E12" s="26">
        <v>80298.62</v>
      </c>
      <c r="F12" s="26">
        <v>111529.81999999999</v>
      </c>
      <c r="G12" s="26">
        <f t="shared" si="4"/>
        <v>191828.44</v>
      </c>
      <c r="H12" s="26">
        <v>2884284.79</v>
      </c>
      <c r="I12" s="26">
        <v>153353.86000000002</v>
      </c>
      <c r="J12" s="32">
        <f t="shared" si="2"/>
        <v>4909834.58</v>
      </c>
      <c r="K12" s="66">
        <v>0</v>
      </c>
      <c r="L12" s="26">
        <v>67955.789999999994</v>
      </c>
      <c r="M12" s="26"/>
      <c r="N12" s="26"/>
      <c r="P12" s="26">
        <v>345866.55</v>
      </c>
      <c r="Q12" s="26">
        <v>45207.789999999979</v>
      </c>
      <c r="R12" s="67">
        <v>14674.002250348567</v>
      </c>
      <c r="S12" s="26"/>
      <c r="U12" s="26">
        <v>20244.57</v>
      </c>
      <c r="W12" s="30">
        <v>5373</v>
      </c>
      <c r="X12" s="30">
        <v>5137</v>
      </c>
      <c r="Y12" s="31">
        <v>28.031925248199343</v>
      </c>
      <c r="Z12" s="30">
        <v>811</v>
      </c>
      <c r="AA12" s="31">
        <v>59.432799013563503</v>
      </c>
      <c r="AB12" s="30">
        <v>33171</v>
      </c>
      <c r="AD12" s="23">
        <v>1037.741063962585</v>
      </c>
      <c r="AF12" s="23">
        <v>3063345.5900000003</v>
      </c>
      <c r="AG12" s="23"/>
      <c r="AH12" s="126">
        <v>7206589</v>
      </c>
      <c r="AJ12" s="39" t="s">
        <v>66</v>
      </c>
      <c r="AK12" s="42">
        <f>VLOOKUP($AK$2,'Diretrizes - Resumo'!$A$4:$I$30,8,)</f>
        <v>521190.29000000004</v>
      </c>
      <c r="AR12" s="29"/>
    </row>
    <row r="13" spans="1:44" ht="16.5" thickBot="1" x14ac:dyDescent="0.3">
      <c r="A13" s="33" t="s">
        <v>334</v>
      </c>
      <c r="B13" s="26">
        <v>512036.4</v>
      </c>
      <c r="C13" s="26">
        <v>165818.14000000001</v>
      </c>
      <c r="D13" s="26">
        <f t="shared" si="3"/>
        <v>677854.54</v>
      </c>
      <c r="E13" s="26">
        <v>40883.160000000003</v>
      </c>
      <c r="F13" s="26">
        <v>50933.57</v>
      </c>
      <c r="G13" s="26">
        <f t="shared" si="4"/>
        <v>91816.73000000001</v>
      </c>
      <c r="H13" s="26">
        <v>489800.62</v>
      </c>
      <c r="I13" s="26">
        <v>44648.26</v>
      </c>
      <c r="J13" s="32">
        <f t="shared" si="2"/>
        <v>1304120.1499999999</v>
      </c>
      <c r="K13" s="66">
        <v>0</v>
      </c>
      <c r="L13" s="26">
        <v>17749.740000000002</v>
      </c>
      <c r="M13" s="26">
        <v>17240</v>
      </c>
      <c r="N13" s="26">
        <v>117744.25</v>
      </c>
      <c r="P13" s="26">
        <v>90338.75</v>
      </c>
      <c r="Q13" s="26">
        <v>11540.580000000002</v>
      </c>
      <c r="R13" s="67">
        <v>6859.5294599417248</v>
      </c>
      <c r="S13" s="26"/>
      <c r="U13" s="26">
        <v>4047.93</v>
      </c>
      <c r="W13" s="30">
        <v>2191</v>
      </c>
      <c r="X13" s="30">
        <v>2163</v>
      </c>
      <c r="Y13" s="31">
        <v>35.829865926953303</v>
      </c>
      <c r="Z13" s="30">
        <v>340</v>
      </c>
      <c r="AA13" s="31">
        <v>60.294117647058826</v>
      </c>
      <c r="AB13" s="30">
        <v>5633</v>
      </c>
      <c r="AD13" s="23">
        <v>139.65190688876618</v>
      </c>
      <c r="AF13" s="23">
        <v>380637.44</v>
      </c>
      <c r="AG13" s="23"/>
      <c r="AH13" s="126">
        <v>7153262</v>
      </c>
      <c r="AJ13" s="39" t="s">
        <v>333</v>
      </c>
      <c r="AK13" s="42">
        <f>VLOOKUP($AK$2,'Diretrizes - Resumo'!$A$4:$I$30,9,)</f>
        <v>40444.17</v>
      </c>
      <c r="AR13" s="29"/>
    </row>
    <row r="14" spans="1:44" ht="16.5" thickBot="1" x14ac:dyDescent="0.3">
      <c r="A14" s="33" t="s">
        <v>331</v>
      </c>
      <c r="B14" s="26">
        <v>4794475.05</v>
      </c>
      <c r="C14" s="26">
        <v>723080.07</v>
      </c>
      <c r="D14" s="26">
        <f t="shared" si="3"/>
        <v>5517555.1200000001</v>
      </c>
      <c r="E14" s="26">
        <v>366538.9</v>
      </c>
      <c r="F14" s="26">
        <v>109991.88</v>
      </c>
      <c r="G14" s="26">
        <f t="shared" si="4"/>
        <v>476530.78</v>
      </c>
      <c r="H14" s="26">
        <v>5364068.88</v>
      </c>
      <c r="I14" s="26">
        <v>524881.82000000007</v>
      </c>
      <c r="J14" s="32">
        <f t="shared" si="2"/>
        <v>11883036.600000001</v>
      </c>
      <c r="K14" s="66">
        <v>0</v>
      </c>
      <c r="L14" s="26">
        <v>164213.18</v>
      </c>
      <c r="M14" s="26"/>
      <c r="N14" s="26"/>
      <c r="P14" s="26">
        <v>835776.41</v>
      </c>
      <c r="Q14" s="26">
        <v>110251.55000000005</v>
      </c>
      <c r="R14" s="67">
        <v>61553.411014877376</v>
      </c>
      <c r="S14" s="26"/>
      <c r="U14" s="26">
        <v>47746.52</v>
      </c>
      <c r="W14" s="30">
        <v>18589</v>
      </c>
      <c r="X14" s="30">
        <v>17880</v>
      </c>
      <c r="Y14" s="31">
        <v>24.99440715883668</v>
      </c>
      <c r="Z14" s="30">
        <v>2127</v>
      </c>
      <c r="AA14" s="31">
        <v>33.803479078514343</v>
      </c>
      <c r="AB14" s="30">
        <v>61690</v>
      </c>
      <c r="AD14" s="23">
        <v>6077.2469271024092</v>
      </c>
      <c r="AF14" s="23">
        <v>13295439.140000001</v>
      </c>
      <c r="AG14" s="23"/>
      <c r="AH14" s="126">
        <v>21411923</v>
      </c>
      <c r="AJ14" s="39" t="s">
        <v>12</v>
      </c>
      <c r="AK14" s="41"/>
      <c r="AR14" s="29"/>
    </row>
    <row r="15" spans="1:44" ht="16.5" thickBot="1" x14ac:dyDescent="0.3">
      <c r="A15" s="33" t="s">
        <v>329</v>
      </c>
      <c r="B15" s="26">
        <v>844523.85</v>
      </c>
      <c r="C15" s="26">
        <v>293680.92</v>
      </c>
      <c r="D15" s="26">
        <f t="shared" si="3"/>
        <v>1138204.77</v>
      </c>
      <c r="E15" s="26">
        <v>87773.540000000008</v>
      </c>
      <c r="F15" s="26">
        <v>64930.83</v>
      </c>
      <c r="G15" s="26">
        <f t="shared" si="4"/>
        <v>152704.37</v>
      </c>
      <c r="H15" s="26">
        <v>2068501.13</v>
      </c>
      <c r="I15" s="26">
        <v>143612.68</v>
      </c>
      <c r="J15" s="32">
        <f t="shared" si="2"/>
        <v>3503022.95</v>
      </c>
      <c r="K15" s="66">
        <v>0</v>
      </c>
      <c r="L15" s="26">
        <v>48468.639999999999</v>
      </c>
      <c r="M15" s="26"/>
      <c r="N15" s="26"/>
      <c r="P15" s="26">
        <v>246685.1</v>
      </c>
      <c r="Q15" s="26">
        <v>31993.389999999985</v>
      </c>
      <c r="R15" s="67">
        <v>7651.9923404617584</v>
      </c>
      <c r="S15" s="26"/>
      <c r="U15" s="26">
        <v>14188.69</v>
      </c>
      <c r="W15" s="30">
        <v>3778</v>
      </c>
      <c r="X15" s="30">
        <v>3683</v>
      </c>
      <c r="Y15" s="31">
        <v>36.166168884061911</v>
      </c>
      <c r="Z15" s="30">
        <v>686</v>
      </c>
      <c r="AA15" s="31">
        <v>51.749271137026234</v>
      </c>
      <c r="AB15" s="30">
        <v>23789</v>
      </c>
      <c r="AD15" s="23">
        <v>484.46566080439084</v>
      </c>
      <c r="AF15" s="23">
        <v>1541058.7</v>
      </c>
      <c r="AG15" s="23"/>
      <c r="AH15" s="126">
        <v>2839188</v>
      </c>
      <c r="AJ15" s="39" t="s">
        <v>138</v>
      </c>
      <c r="AK15" s="38">
        <f>VLOOKUP($AK$2,'Diretrizes - Resumo'!$A$4:$U$30,21,)</f>
        <v>3293.32</v>
      </c>
      <c r="AR15" s="29"/>
    </row>
    <row r="16" spans="1:44" ht="16.5" thickBot="1" x14ac:dyDescent="0.3">
      <c r="A16" s="33" t="s">
        <v>327</v>
      </c>
      <c r="B16" s="26">
        <v>1039263.51</v>
      </c>
      <c r="C16" s="26">
        <v>167836.07</v>
      </c>
      <c r="D16" s="26">
        <f t="shared" si="3"/>
        <v>1207099.58</v>
      </c>
      <c r="E16" s="26">
        <v>102373.44</v>
      </c>
      <c r="F16" s="26">
        <v>58593.32</v>
      </c>
      <c r="G16" s="26">
        <f t="shared" si="4"/>
        <v>160966.76</v>
      </c>
      <c r="H16" s="26">
        <v>3102099.55</v>
      </c>
      <c r="I16" s="26">
        <v>123360.06</v>
      </c>
      <c r="J16" s="32">
        <f t="shared" si="2"/>
        <v>4593525.95</v>
      </c>
      <c r="K16" s="66">
        <v>0</v>
      </c>
      <c r="L16" s="26">
        <v>63589.07</v>
      </c>
      <c r="M16" s="26"/>
      <c r="N16" s="26"/>
      <c r="P16" s="26">
        <v>323641.75</v>
      </c>
      <c r="Q16" s="26">
        <v>42477.380000000005</v>
      </c>
      <c r="R16" s="67">
        <v>26000.947586903581</v>
      </c>
      <c r="S16" s="26"/>
      <c r="U16" s="26">
        <v>18539.37</v>
      </c>
      <c r="W16" s="30">
        <v>3725</v>
      </c>
      <c r="X16" s="30">
        <v>3662</v>
      </c>
      <c r="Y16" s="31">
        <v>21.572910977607862</v>
      </c>
      <c r="Z16" s="30">
        <v>756</v>
      </c>
      <c r="AA16" s="31">
        <v>51.058201058201057</v>
      </c>
      <c r="AB16" s="30">
        <v>35676</v>
      </c>
      <c r="AD16" s="23">
        <v>1197.8867863722592</v>
      </c>
      <c r="AF16" s="23">
        <v>2597478.37</v>
      </c>
      <c r="AG16" s="23"/>
      <c r="AH16" s="126">
        <v>3567234</v>
      </c>
      <c r="AJ16" s="39" t="s">
        <v>13</v>
      </c>
      <c r="AK16" s="38">
        <f>VLOOKUP($AK$2,'Diretrizes - Resumo'!$A$4:$N$30,14,)</f>
        <v>214794.33</v>
      </c>
      <c r="AR16" s="29"/>
    </row>
    <row r="17" spans="1:44" ht="16.5" thickBot="1" x14ac:dyDescent="0.3">
      <c r="A17" s="33" t="s">
        <v>325</v>
      </c>
      <c r="B17" s="26">
        <v>661650.40999999992</v>
      </c>
      <c r="C17" s="26">
        <v>309741.52</v>
      </c>
      <c r="D17" s="26">
        <f t="shared" si="3"/>
        <v>971391.92999999993</v>
      </c>
      <c r="E17" s="26">
        <v>50489.86</v>
      </c>
      <c r="F17" s="26">
        <v>38300.33</v>
      </c>
      <c r="G17" s="26">
        <f t="shared" si="4"/>
        <v>88790.19</v>
      </c>
      <c r="H17" s="26">
        <v>928212.60000000009</v>
      </c>
      <c r="I17" s="26">
        <v>77079.790000000008</v>
      </c>
      <c r="J17" s="32">
        <f t="shared" si="2"/>
        <v>2065474.51</v>
      </c>
      <c r="K17" s="66">
        <v>0</v>
      </c>
      <c r="L17" s="26">
        <v>28543.68</v>
      </c>
      <c r="M17" s="26"/>
      <c r="N17" s="26"/>
      <c r="P17" s="26">
        <v>145275.38</v>
      </c>
      <c r="Q17" s="26">
        <v>18553.699999999983</v>
      </c>
      <c r="R17" s="67">
        <v>-8734.8822315557045</v>
      </c>
      <c r="S17" s="26"/>
      <c r="U17" s="26">
        <v>7872.51</v>
      </c>
      <c r="W17" s="30">
        <v>3253</v>
      </c>
      <c r="X17" s="30">
        <v>3086</v>
      </c>
      <c r="Y17" s="31">
        <v>39.98703823720026</v>
      </c>
      <c r="Z17" s="30">
        <v>513</v>
      </c>
      <c r="AA17" s="31">
        <v>63.742690058479532</v>
      </c>
      <c r="AB17" s="30">
        <v>10675</v>
      </c>
      <c r="AD17" s="23">
        <v>218.54688023791687</v>
      </c>
      <c r="AF17" s="23">
        <v>1767232.6800000002</v>
      </c>
      <c r="AG17" s="23"/>
      <c r="AH17" s="126">
        <v>8777124</v>
      </c>
      <c r="AJ17" s="14"/>
      <c r="AK17" s="35"/>
      <c r="AR17" s="29"/>
    </row>
    <row r="18" spans="1:44" ht="16.5" thickBot="1" x14ac:dyDescent="0.3">
      <c r="A18" s="33" t="s">
        <v>324</v>
      </c>
      <c r="B18" s="26">
        <v>789002.26</v>
      </c>
      <c r="C18" s="26">
        <v>273180.45999999996</v>
      </c>
      <c r="D18" s="26">
        <f t="shared" si="3"/>
        <v>1062182.72</v>
      </c>
      <c r="E18" s="26">
        <v>62991.5</v>
      </c>
      <c r="F18" s="26">
        <v>28773.33</v>
      </c>
      <c r="G18" s="26">
        <f t="shared" si="4"/>
        <v>91764.83</v>
      </c>
      <c r="H18" s="26">
        <v>878041.3</v>
      </c>
      <c r="I18" s="26">
        <v>95283.22</v>
      </c>
      <c r="J18" s="32">
        <f t="shared" si="2"/>
        <v>2127272.0700000003</v>
      </c>
      <c r="K18" s="66">
        <v>0</v>
      </c>
      <c r="L18" s="26">
        <v>28775.38</v>
      </c>
      <c r="M18" s="26"/>
      <c r="N18" s="26"/>
      <c r="P18" s="26">
        <v>146454.62</v>
      </c>
      <c r="Q18" s="26">
        <v>19302.799999999988</v>
      </c>
      <c r="R18" s="67">
        <v>9172.2009379983938</v>
      </c>
      <c r="S18" s="26">
        <v>0</v>
      </c>
      <c r="U18" s="26">
        <v>8597.24</v>
      </c>
      <c r="W18" s="30">
        <v>3237</v>
      </c>
      <c r="X18" s="30">
        <v>3171</v>
      </c>
      <c r="Y18" s="31">
        <v>29.643645537685273</v>
      </c>
      <c r="Z18" s="30">
        <v>562</v>
      </c>
      <c r="AA18" s="31">
        <v>62.633451957295371</v>
      </c>
      <c r="AB18" s="30">
        <v>10098</v>
      </c>
      <c r="AD18" s="23">
        <v>367.4253084664964</v>
      </c>
      <c r="AF18" s="23">
        <v>1876528.1500000001</v>
      </c>
      <c r="AG18" s="23"/>
      <c r="AH18" s="126">
        <v>4059905</v>
      </c>
      <c r="AJ18" s="579" t="s">
        <v>336</v>
      </c>
      <c r="AK18" s="580"/>
      <c r="AR18" s="29"/>
    </row>
    <row r="19" spans="1:44" ht="16.5" thickBot="1" x14ac:dyDescent="0.3">
      <c r="A19" s="33" t="s">
        <v>289</v>
      </c>
      <c r="B19" s="26">
        <v>1472090.38</v>
      </c>
      <c r="C19" s="26">
        <v>464660.17000000004</v>
      </c>
      <c r="D19" s="26">
        <f t="shared" si="3"/>
        <v>1936750.5499999998</v>
      </c>
      <c r="E19" s="26">
        <v>108536.37999999999</v>
      </c>
      <c r="F19" s="26">
        <v>48179.869999999995</v>
      </c>
      <c r="G19" s="26">
        <f t="shared" si="4"/>
        <v>156716.25</v>
      </c>
      <c r="H19" s="26">
        <v>1890684.29</v>
      </c>
      <c r="I19" s="26">
        <v>189430.22</v>
      </c>
      <c r="J19" s="32">
        <f t="shared" si="2"/>
        <v>4173581.3099999996</v>
      </c>
      <c r="K19" s="66">
        <v>0</v>
      </c>
      <c r="L19" s="26">
        <v>53938.86</v>
      </c>
      <c r="M19" s="26"/>
      <c r="N19" s="26"/>
      <c r="P19" s="26">
        <v>274526.21999999997</v>
      </c>
      <c r="Q19" s="26">
        <v>36421.119999999995</v>
      </c>
      <c r="R19" s="67">
        <v>1931.5931969867088</v>
      </c>
      <c r="S19" s="26"/>
      <c r="U19" s="26">
        <v>13702.67</v>
      </c>
      <c r="W19" s="30">
        <v>5629</v>
      </c>
      <c r="X19" s="30">
        <v>5181</v>
      </c>
      <c r="Y19" s="31">
        <v>21.694653541787304</v>
      </c>
      <c r="Z19" s="30">
        <v>625</v>
      </c>
      <c r="AA19" s="31">
        <v>35.36</v>
      </c>
      <c r="AB19" s="30">
        <v>21744</v>
      </c>
      <c r="AD19" s="23">
        <v>1261.5871366874221</v>
      </c>
      <c r="AF19" s="23">
        <v>1408852.5400000003</v>
      </c>
      <c r="AG19" s="23"/>
      <c r="AH19" s="126">
        <v>9674793</v>
      </c>
      <c r="AJ19" s="94" t="s">
        <v>392</v>
      </c>
      <c r="AK19" s="36">
        <f>VLOOKUP($AK$2,'Diretrizes - Resumo'!$A$4:$AB$30,23,)</f>
        <v>1648</v>
      </c>
      <c r="AR19" s="29"/>
    </row>
    <row r="20" spans="1:44" ht="16.5" thickBot="1" x14ac:dyDescent="0.3">
      <c r="A20" s="33" t="s">
        <v>323</v>
      </c>
      <c r="B20" s="26">
        <v>442813.01</v>
      </c>
      <c r="C20" s="26">
        <v>130903.85</v>
      </c>
      <c r="D20" s="26">
        <f t="shared" si="3"/>
        <v>573716.86</v>
      </c>
      <c r="E20" s="26">
        <v>55194.75</v>
      </c>
      <c r="F20" s="26">
        <v>30426.440000000002</v>
      </c>
      <c r="G20" s="26">
        <f t="shared" si="4"/>
        <v>85621.19</v>
      </c>
      <c r="H20" s="26">
        <v>521190.29000000004</v>
      </c>
      <c r="I20" s="26">
        <v>40444.17</v>
      </c>
      <c r="J20" s="32">
        <f t="shared" si="2"/>
        <v>1220972.5100000002</v>
      </c>
      <c r="K20" s="66">
        <v>0</v>
      </c>
      <c r="L20" s="26">
        <v>15705.81</v>
      </c>
      <c r="M20" s="26">
        <v>16840</v>
      </c>
      <c r="N20" s="26">
        <v>214794.33</v>
      </c>
      <c r="P20" s="26">
        <v>79935.990000000005</v>
      </c>
      <c r="Q20" s="26">
        <v>10130.86</v>
      </c>
      <c r="R20" s="67">
        <v>-543.7096634284826</v>
      </c>
      <c r="S20" s="26"/>
      <c r="U20" s="26">
        <v>3293.32</v>
      </c>
      <c r="W20" s="30">
        <v>1648</v>
      </c>
      <c r="X20" s="30">
        <v>1606</v>
      </c>
      <c r="Y20" s="31">
        <v>24.097135740971353</v>
      </c>
      <c r="Z20" s="30">
        <v>333</v>
      </c>
      <c r="AA20" s="31">
        <v>42.342342342342342</v>
      </c>
      <c r="AB20" s="30">
        <v>5994</v>
      </c>
      <c r="AD20" s="23">
        <v>68.489032478501628</v>
      </c>
      <c r="AF20" s="23">
        <v>153232.93</v>
      </c>
      <c r="AG20" s="23"/>
      <c r="AH20" s="126">
        <v>3289290</v>
      </c>
      <c r="AJ20" s="94" t="s">
        <v>393</v>
      </c>
      <c r="AK20" s="36">
        <f>VLOOKUP($AK$2,'Diretrizes - Resumo'!$A$4:$AB$30,24,)</f>
        <v>1606</v>
      </c>
      <c r="AR20" s="29"/>
    </row>
    <row r="21" spans="1:44" ht="16.5" thickBot="1" x14ac:dyDescent="0.3">
      <c r="A21" s="33" t="s">
        <v>322</v>
      </c>
      <c r="B21" s="26">
        <v>3699470.3899999997</v>
      </c>
      <c r="C21" s="26">
        <v>867607.55</v>
      </c>
      <c r="D21" s="26">
        <f t="shared" si="3"/>
        <v>4567077.9399999995</v>
      </c>
      <c r="E21" s="26">
        <v>492458.63</v>
      </c>
      <c r="F21" s="26">
        <v>185014.2</v>
      </c>
      <c r="G21" s="26">
        <f t="shared" si="4"/>
        <v>677472.83000000007</v>
      </c>
      <c r="H21" s="26">
        <v>6434187.1500000004</v>
      </c>
      <c r="I21" s="26">
        <v>410922.9</v>
      </c>
      <c r="J21" s="32">
        <f t="shared" si="2"/>
        <v>12089660.82</v>
      </c>
      <c r="K21" s="66">
        <v>0</v>
      </c>
      <c r="L21" s="26">
        <v>163589.16</v>
      </c>
      <c r="M21" s="26"/>
      <c r="N21" s="26"/>
      <c r="P21" s="26">
        <v>832600.38</v>
      </c>
      <c r="Q21" s="26">
        <v>110498.45999999996</v>
      </c>
      <c r="R21" s="67">
        <v>75116.962119730539</v>
      </c>
      <c r="S21" s="26"/>
      <c r="U21" s="26">
        <v>55576</v>
      </c>
      <c r="W21" s="30">
        <v>14601</v>
      </c>
      <c r="X21" s="30">
        <v>14189</v>
      </c>
      <c r="Y21" s="31">
        <v>25.216717175276628</v>
      </c>
      <c r="Z21" s="30">
        <v>2791</v>
      </c>
      <c r="AA21" s="31">
        <v>31.744894303117164</v>
      </c>
      <c r="AB21" s="30">
        <v>73997</v>
      </c>
      <c r="AD21" s="23">
        <v>3216.1192864684754</v>
      </c>
      <c r="AF21" s="23">
        <v>15395217.52</v>
      </c>
      <c r="AG21" s="23"/>
      <c r="AH21" s="126">
        <v>11597484</v>
      </c>
      <c r="AJ21" s="93" t="s">
        <v>332</v>
      </c>
      <c r="AK21" s="40">
        <f>VLOOKUP($AK$2,'Diretrizes - Resumo'!$A$4:$AB$30,25,)</f>
        <v>24.097135740971353</v>
      </c>
      <c r="AR21" s="29"/>
    </row>
    <row r="22" spans="1:44" ht="16.5" thickBot="1" x14ac:dyDescent="0.3">
      <c r="A22" s="33" t="s">
        <v>321</v>
      </c>
      <c r="B22" s="26">
        <v>4562590.3600000003</v>
      </c>
      <c r="C22" s="26">
        <v>1162226.3400000001</v>
      </c>
      <c r="D22" s="26">
        <f t="shared" si="3"/>
        <v>5724816.7000000002</v>
      </c>
      <c r="E22" s="26">
        <v>536205.69999999995</v>
      </c>
      <c r="F22" s="26">
        <v>227054.9</v>
      </c>
      <c r="G22" s="26">
        <f t="shared" si="4"/>
        <v>763260.6</v>
      </c>
      <c r="H22" s="26">
        <v>5685356.5199999996</v>
      </c>
      <c r="I22" s="26">
        <v>502437.18</v>
      </c>
      <c r="J22" s="32">
        <f t="shared" si="2"/>
        <v>12675871</v>
      </c>
      <c r="K22" s="66">
        <v>0</v>
      </c>
      <c r="L22" s="26">
        <v>175281.49</v>
      </c>
      <c r="M22" s="26"/>
      <c r="N22" s="26"/>
      <c r="P22" s="26">
        <v>892109.48</v>
      </c>
      <c r="Q22" s="26">
        <v>124299.5</v>
      </c>
      <c r="R22" s="67">
        <v>79876.25823620474</v>
      </c>
      <c r="S22" s="26">
        <v>0</v>
      </c>
      <c r="U22" s="26">
        <v>38847.51</v>
      </c>
      <c r="W22" s="30">
        <v>21569</v>
      </c>
      <c r="X22" s="30">
        <v>18065</v>
      </c>
      <c r="Y22" s="31">
        <v>28.098533075006912</v>
      </c>
      <c r="Z22" s="30">
        <v>3226</v>
      </c>
      <c r="AA22" s="31">
        <v>40.948543087414755</v>
      </c>
      <c r="AB22" s="30">
        <v>65385</v>
      </c>
      <c r="AD22" s="23">
        <v>11008.110100605725</v>
      </c>
      <c r="AF22" s="23">
        <v>8449374.1999999993</v>
      </c>
      <c r="AG22" s="23"/>
      <c r="AH22" s="126">
        <v>17463349</v>
      </c>
      <c r="AJ22" s="37" t="s">
        <v>330</v>
      </c>
      <c r="AK22" s="36">
        <f>VLOOKUP($AK$2,'Diretrizes - Resumo'!$A$4:$AB$30,26,)</f>
        <v>333</v>
      </c>
      <c r="AR22" s="29"/>
    </row>
    <row r="23" spans="1:44" ht="16.5" thickBot="1" x14ac:dyDescent="0.3">
      <c r="A23" s="33" t="s">
        <v>320</v>
      </c>
      <c r="B23" s="26">
        <v>694746.1</v>
      </c>
      <c r="C23" s="26">
        <v>193603.36</v>
      </c>
      <c r="D23" s="26">
        <f t="shared" si="3"/>
        <v>888349.46</v>
      </c>
      <c r="E23" s="26">
        <v>46665.61</v>
      </c>
      <c r="F23" s="26">
        <v>49377.67</v>
      </c>
      <c r="G23" s="26">
        <f t="shared" si="4"/>
        <v>96043.28</v>
      </c>
      <c r="H23" s="26">
        <v>918560.93</v>
      </c>
      <c r="I23" s="26">
        <v>80784.91</v>
      </c>
      <c r="J23" s="32">
        <f t="shared" si="2"/>
        <v>1983738.58</v>
      </c>
      <c r="K23" s="66">
        <v>0</v>
      </c>
      <c r="L23" s="26">
        <v>27449.72</v>
      </c>
      <c r="M23" s="26"/>
      <c r="N23" s="26"/>
      <c r="P23" s="26">
        <v>139707.57</v>
      </c>
      <c r="Q23" s="26">
        <v>18579.109999999986</v>
      </c>
      <c r="R23" s="67">
        <v>10944.235503182223</v>
      </c>
      <c r="S23" s="26"/>
      <c r="U23" s="26">
        <v>7447.43</v>
      </c>
      <c r="W23" s="30">
        <v>2803</v>
      </c>
      <c r="X23" s="30">
        <v>2723</v>
      </c>
      <c r="Y23" s="31">
        <v>31.031950055086298</v>
      </c>
      <c r="Z23" s="30">
        <v>316</v>
      </c>
      <c r="AA23" s="31">
        <v>52.848101265822784</v>
      </c>
      <c r="AB23" s="30">
        <v>10564</v>
      </c>
      <c r="AD23" s="23">
        <v>371.16322702150114</v>
      </c>
      <c r="AF23" s="23">
        <v>1337995.67</v>
      </c>
      <c r="AG23" s="23"/>
      <c r="AH23" s="126">
        <v>3560903</v>
      </c>
      <c r="AJ23" s="37" t="s">
        <v>328</v>
      </c>
      <c r="AK23" s="40">
        <f>VLOOKUP($AK$2,'Diretrizes - Resumo'!$A$4:$AB$30,27,)</f>
        <v>42.342342342342342</v>
      </c>
      <c r="AR23" s="29"/>
    </row>
    <row r="24" spans="1:44" ht="16.5" thickBot="1" x14ac:dyDescent="0.3">
      <c r="A24" s="33" t="s">
        <v>319</v>
      </c>
      <c r="B24" s="26">
        <v>357610.5</v>
      </c>
      <c r="C24" s="26">
        <v>76550.48</v>
      </c>
      <c r="D24" s="26">
        <f t="shared" si="3"/>
        <v>434160.98</v>
      </c>
      <c r="E24" s="26">
        <v>34600.17</v>
      </c>
      <c r="F24" s="26">
        <v>19144.300000000003</v>
      </c>
      <c r="G24" s="26">
        <f t="shared" si="4"/>
        <v>53744.47</v>
      </c>
      <c r="H24" s="26">
        <v>955515.52</v>
      </c>
      <c r="I24" s="26">
        <v>60161.979999999996</v>
      </c>
      <c r="J24" s="32">
        <f t="shared" si="2"/>
        <v>1503582.95</v>
      </c>
      <c r="K24" s="66">
        <v>0</v>
      </c>
      <c r="L24" s="26">
        <v>20766.82</v>
      </c>
      <c r="M24" s="26"/>
      <c r="N24" s="26"/>
      <c r="P24" s="26">
        <v>105694.41</v>
      </c>
      <c r="Q24" s="26">
        <v>13636.470000000001</v>
      </c>
      <c r="R24" s="67">
        <v>12399.72019198889</v>
      </c>
      <c r="S24" s="26"/>
      <c r="U24" s="26">
        <v>5793.13</v>
      </c>
      <c r="W24" s="30">
        <v>1463</v>
      </c>
      <c r="X24" s="30">
        <v>1444</v>
      </c>
      <c r="Y24" s="31">
        <v>30.124653739612185</v>
      </c>
      <c r="Z24" s="30">
        <v>241</v>
      </c>
      <c r="AA24" s="31">
        <v>53.941908713692946</v>
      </c>
      <c r="AB24" s="30">
        <v>10989</v>
      </c>
      <c r="AD24" s="23">
        <v>262.58485504671415</v>
      </c>
      <c r="AF24" s="23">
        <v>1555929.9900000002</v>
      </c>
      <c r="AG24" s="23"/>
      <c r="AH24" s="126">
        <v>1815278</v>
      </c>
      <c r="AJ24" s="93" t="s">
        <v>326</v>
      </c>
      <c r="AK24" s="36">
        <v>5994</v>
      </c>
      <c r="AR24" s="29"/>
    </row>
    <row r="25" spans="1:44" ht="16.5" thickBot="1" x14ac:dyDescent="0.3">
      <c r="A25" s="33" t="s">
        <v>318</v>
      </c>
      <c r="B25" s="26">
        <v>60890.82</v>
      </c>
      <c r="C25" s="26">
        <v>16201.14</v>
      </c>
      <c r="D25" s="26">
        <f t="shared" si="3"/>
        <v>77091.959999999992</v>
      </c>
      <c r="E25" s="26">
        <v>6861.2000000000007</v>
      </c>
      <c r="F25" s="26">
        <v>5896.87</v>
      </c>
      <c r="G25" s="26">
        <f t="shared" si="4"/>
        <v>12758.07</v>
      </c>
      <c r="H25" s="26">
        <v>119732.91</v>
      </c>
      <c r="I25" s="26">
        <v>7156.77</v>
      </c>
      <c r="J25" s="32">
        <f t="shared" si="2"/>
        <v>216739.71</v>
      </c>
      <c r="K25" s="66">
        <v>0</v>
      </c>
      <c r="L25" s="26">
        <v>3000.1</v>
      </c>
      <c r="M25" s="26">
        <v>17640</v>
      </c>
      <c r="N25" s="26">
        <v>1010840.73</v>
      </c>
      <c r="P25" s="26">
        <v>15269.28</v>
      </c>
      <c r="Q25" s="26">
        <v>1936.0199999999986</v>
      </c>
      <c r="R25" s="67">
        <v>458.4134838186983</v>
      </c>
      <c r="S25" s="26"/>
      <c r="U25" s="26">
        <v>735.74</v>
      </c>
      <c r="W25" s="30">
        <v>255</v>
      </c>
      <c r="X25" s="30">
        <v>246</v>
      </c>
      <c r="Y25" s="31">
        <v>32.520325203252028</v>
      </c>
      <c r="Z25" s="30">
        <v>64</v>
      </c>
      <c r="AA25" s="31">
        <v>60.9375</v>
      </c>
      <c r="AB25" s="30">
        <v>1377</v>
      </c>
      <c r="AD25" s="23">
        <v>115.97587242580128</v>
      </c>
      <c r="AF25" s="23">
        <v>72429.289999999994</v>
      </c>
      <c r="AG25" s="23"/>
      <c r="AH25" s="126">
        <v>652713</v>
      </c>
      <c r="AR25" s="29"/>
    </row>
    <row r="26" spans="1:44" ht="16.5" thickBot="1" x14ac:dyDescent="0.3">
      <c r="A26" s="33" t="s">
        <v>317</v>
      </c>
      <c r="B26" s="26">
        <v>4736160.08</v>
      </c>
      <c r="C26" s="26">
        <v>1698548.27</v>
      </c>
      <c r="D26" s="26">
        <f t="shared" si="3"/>
        <v>6434708.3499999996</v>
      </c>
      <c r="E26" s="26">
        <v>476011.44</v>
      </c>
      <c r="F26" s="26">
        <v>253687.99</v>
      </c>
      <c r="G26" s="26">
        <f t="shared" si="4"/>
        <v>729699.42999999993</v>
      </c>
      <c r="H26" s="26">
        <v>8793716.620000001</v>
      </c>
      <c r="I26" s="26">
        <v>530902.67000000004</v>
      </c>
      <c r="J26" s="32">
        <f t="shared" si="2"/>
        <v>16489027.07</v>
      </c>
      <c r="K26" s="66">
        <v>0</v>
      </c>
      <c r="L26" s="26">
        <v>216876.67</v>
      </c>
      <c r="M26" s="26"/>
      <c r="N26" s="26"/>
      <c r="P26" s="26">
        <v>1103811.54</v>
      </c>
      <c r="Q26" s="26">
        <v>144414.68000000017</v>
      </c>
      <c r="R26" s="67">
        <v>69330.702281133272</v>
      </c>
      <c r="S26" s="26"/>
      <c r="U26" s="26">
        <v>66194.070000000007</v>
      </c>
      <c r="W26" s="30">
        <v>18256</v>
      </c>
      <c r="X26" s="30">
        <v>17104</v>
      </c>
      <c r="Y26" s="31">
        <v>20.071328344246965</v>
      </c>
      <c r="Z26" s="30">
        <v>3413</v>
      </c>
      <c r="AA26" s="31">
        <v>40.638734251391739</v>
      </c>
      <c r="AB26" s="30">
        <v>101133</v>
      </c>
      <c r="AD26" s="23">
        <v>3264.6340104897736</v>
      </c>
      <c r="AF26" s="23">
        <v>20599967.039999999</v>
      </c>
      <c r="AG26" s="23"/>
      <c r="AH26" s="126">
        <v>11466630</v>
      </c>
      <c r="AJ26" s="579" t="s">
        <v>396</v>
      </c>
      <c r="AK26" s="580"/>
      <c r="AR26" s="29"/>
    </row>
    <row r="27" spans="1:44" ht="16.5" thickBot="1" x14ac:dyDescent="0.3">
      <c r="A27" s="33" t="s">
        <v>316</v>
      </c>
      <c r="B27" s="26">
        <v>3316553.4699999997</v>
      </c>
      <c r="C27" s="26">
        <v>700847.52</v>
      </c>
      <c r="D27" s="26">
        <f t="shared" si="3"/>
        <v>4017400.9899999998</v>
      </c>
      <c r="E27" s="26">
        <v>341605.97</v>
      </c>
      <c r="F27" s="26">
        <v>196070.56</v>
      </c>
      <c r="G27" s="26">
        <f t="shared" si="4"/>
        <v>537676.53</v>
      </c>
      <c r="H27" s="26">
        <v>5391545.71</v>
      </c>
      <c r="I27" s="26">
        <v>320023.29000000004</v>
      </c>
      <c r="J27" s="32">
        <f t="shared" si="2"/>
        <v>10266646.52</v>
      </c>
      <c r="K27" s="66">
        <v>0</v>
      </c>
      <c r="L27" s="26">
        <v>138967.76</v>
      </c>
      <c r="M27" s="26"/>
      <c r="N27" s="26"/>
      <c r="P27" s="26">
        <v>707287.75</v>
      </c>
      <c r="Q27" s="26">
        <v>91888.719999999972</v>
      </c>
      <c r="R27" s="67">
        <v>77145.517409305787</v>
      </c>
      <c r="S27" s="26"/>
      <c r="U27" s="26">
        <v>41160.620000000003</v>
      </c>
      <c r="W27" s="30">
        <v>11865</v>
      </c>
      <c r="X27" s="30">
        <v>11577</v>
      </c>
      <c r="Y27" s="31">
        <v>21.5340761855403</v>
      </c>
      <c r="Z27" s="30">
        <v>2159</v>
      </c>
      <c r="AA27" s="31">
        <v>43.30708661417323</v>
      </c>
      <c r="AB27" s="30">
        <v>62006</v>
      </c>
      <c r="AD27" s="23">
        <v>2830.8447930527382</v>
      </c>
      <c r="AF27" s="23">
        <v>11221068.189999999</v>
      </c>
      <c r="AG27" s="23"/>
      <c r="AH27" s="126">
        <v>7338473</v>
      </c>
      <c r="AJ27" s="44" t="s">
        <v>397</v>
      </c>
      <c r="AK27" s="36">
        <f>VLOOKUP($AK$2,A4:AH30,34,)</f>
        <v>3289290</v>
      </c>
      <c r="AR27" s="29"/>
    </row>
    <row r="28" spans="1:44" s="34" customFormat="1" ht="16.5" thickBot="1" x14ac:dyDescent="0.3">
      <c r="A28" s="33" t="s">
        <v>315</v>
      </c>
      <c r="B28" s="26">
        <v>437802.01</v>
      </c>
      <c r="C28" s="26">
        <v>73005.62</v>
      </c>
      <c r="D28" s="26">
        <f t="shared" si="3"/>
        <v>510807.63</v>
      </c>
      <c r="E28" s="26">
        <v>28552.21</v>
      </c>
      <c r="F28" s="26">
        <v>15515.79</v>
      </c>
      <c r="G28" s="26">
        <f t="shared" si="4"/>
        <v>44068</v>
      </c>
      <c r="H28" s="26">
        <v>648401.06000000006</v>
      </c>
      <c r="I28" s="26">
        <v>47526.630000000005</v>
      </c>
      <c r="J28" s="32">
        <f t="shared" si="2"/>
        <v>1250803.32</v>
      </c>
      <c r="K28" s="66">
        <v>0</v>
      </c>
      <c r="L28" s="26">
        <v>17311.73</v>
      </c>
      <c r="M28" s="26">
        <v>14440</v>
      </c>
      <c r="N28" s="26">
        <v>150200.19</v>
      </c>
      <c r="O28" s="24"/>
      <c r="P28" s="26">
        <v>88109.46</v>
      </c>
      <c r="Q28" s="26">
        <v>11461.789999999994</v>
      </c>
      <c r="R28" s="67">
        <v>4580.7374738581129</v>
      </c>
      <c r="S28" s="26">
        <v>0</v>
      </c>
      <c r="T28" s="23"/>
      <c r="U28" s="26">
        <v>4426.78</v>
      </c>
      <c r="V28" s="23"/>
      <c r="W28" s="30">
        <v>1701</v>
      </c>
      <c r="X28" s="30">
        <v>1667</v>
      </c>
      <c r="Y28" s="31">
        <v>28.374325134973006</v>
      </c>
      <c r="Z28" s="30">
        <v>201</v>
      </c>
      <c r="AA28" s="31">
        <v>39.303482587064678</v>
      </c>
      <c r="AB28" s="30">
        <v>7457</v>
      </c>
      <c r="AC28" s="4"/>
      <c r="AD28" s="23">
        <v>339.53562395788339</v>
      </c>
      <c r="AE28" s="4"/>
      <c r="AF28" s="23">
        <v>1227024.3099999998</v>
      </c>
      <c r="AG28" s="23"/>
      <c r="AH28" s="126">
        <v>2338474</v>
      </c>
      <c r="AM28" s="7"/>
      <c r="AR28" s="29"/>
    </row>
    <row r="29" spans="1:44" ht="16.5" thickBot="1" x14ac:dyDescent="0.3">
      <c r="A29" s="33" t="s">
        <v>314</v>
      </c>
      <c r="B29" s="26">
        <v>16795375.52</v>
      </c>
      <c r="C29" s="26">
        <v>4054515.91</v>
      </c>
      <c r="D29" s="26">
        <f t="shared" si="3"/>
        <v>20849891.43</v>
      </c>
      <c r="E29" s="26">
        <v>1218522.21</v>
      </c>
      <c r="F29" s="26">
        <v>507349.62</v>
      </c>
      <c r="G29" s="26">
        <f t="shared" si="4"/>
        <v>1725871.83</v>
      </c>
      <c r="H29" s="26">
        <v>31198029.789999999</v>
      </c>
      <c r="I29" s="26">
        <v>2200201.19</v>
      </c>
      <c r="J29" s="32">
        <f t="shared" si="2"/>
        <v>55973994.240000002</v>
      </c>
      <c r="K29" s="66">
        <v>0</v>
      </c>
      <c r="L29" s="26">
        <v>764589.9</v>
      </c>
      <c r="M29" s="26"/>
      <c r="N29" s="26"/>
      <c r="P29" s="26">
        <v>3891442.75</v>
      </c>
      <c r="Q29" s="26">
        <v>551511.29</v>
      </c>
      <c r="R29" s="67">
        <v>370489.65804265626</v>
      </c>
      <c r="S29" s="26"/>
      <c r="U29" s="26">
        <v>194251.7</v>
      </c>
      <c r="W29" s="30">
        <v>67463</v>
      </c>
      <c r="X29" s="30">
        <v>63084</v>
      </c>
      <c r="Y29" s="31">
        <v>26.894299663940146</v>
      </c>
      <c r="Z29" s="30">
        <v>8228</v>
      </c>
      <c r="AA29" s="31">
        <v>41.273699562469609</v>
      </c>
      <c r="AB29" s="30">
        <v>358796</v>
      </c>
      <c r="AD29" s="23">
        <v>13710.73004168248</v>
      </c>
      <c r="AF29" s="23">
        <v>52203605.710000001</v>
      </c>
      <c r="AG29" s="23"/>
      <c r="AH29" s="126">
        <v>46649132</v>
      </c>
      <c r="AR29" s="29"/>
    </row>
    <row r="30" spans="1:44" ht="16.5" thickBot="1" x14ac:dyDescent="0.3">
      <c r="A30" s="33" t="s">
        <v>313</v>
      </c>
      <c r="B30" s="26">
        <v>228245</v>
      </c>
      <c r="C30" s="26">
        <v>50794.41</v>
      </c>
      <c r="D30" s="26">
        <f t="shared" si="3"/>
        <v>279039.41000000003</v>
      </c>
      <c r="E30" s="26">
        <v>26839.45</v>
      </c>
      <c r="F30" s="26">
        <v>37428.519999999997</v>
      </c>
      <c r="G30" s="26">
        <f t="shared" si="4"/>
        <v>64267.97</v>
      </c>
      <c r="H30" s="26">
        <v>499713.14999999997</v>
      </c>
      <c r="I30" s="26">
        <v>36281.89</v>
      </c>
      <c r="J30" s="32">
        <f t="shared" si="2"/>
        <v>879302.41999999993</v>
      </c>
      <c r="K30" s="66">
        <v>0</v>
      </c>
      <c r="L30" s="26">
        <v>11938.3</v>
      </c>
      <c r="M30" s="26">
        <v>12440</v>
      </c>
      <c r="N30" s="26">
        <v>411563.82000000007</v>
      </c>
      <c r="P30" s="26">
        <v>60760.94</v>
      </c>
      <c r="Q30" s="26">
        <v>8023.8399999999965</v>
      </c>
      <c r="R30" s="67">
        <v>5231.5633210030646</v>
      </c>
      <c r="S30" s="26">
        <v>0</v>
      </c>
      <c r="U30" s="26">
        <v>3341.27</v>
      </c>
      <c r="W30" s="30">
        <v>923</v>
      </c>
      <c r="X30" s="30">
        <v>904</v>
      </c>
      <c r="Y30" s="31">
        <v>29.314159292035399</v>
      </c>
      <c r="Z30" s="30">
        <v>241</v>
      </c>
      <c r="AA30" s="31">
        <v>58.50622406639004</v>
      </c>
      <c r="AB30" s="30">
        <v>5747</v>
      </c>
      <c r="AD30" s="23">
        <v>267.67188780949141</v>
      </c>
      <c r="AF30" s="23">
        <v>920385.53</v>
      </c>
      <c r="AG30" s="23"/>
      <c r="AH30" s="126">
        <v>1607363</v>
      </c>
      <c r="AR30" s="29"/>
    </row>
    <row r="31" spans="1:44" x14ac:dyDescent="0.25">
      <c r="P31" s="28"/>
      <c r="Q31" s="28"/>
    </row>
    <row r="32" spans="1:44" x14ac:dyDescent="0.25">
      <c r="A32" s="27" t="s">
        <v>394</v>
      </c>
      <c r="B32" s="30">
        <v>2</v>
      </c>
      <c r="C32" s="30">
        <f>B32+1</f>
        <v>3</v>
      </c>
      <c r="D32" s="30">
        <f t="shared" ref="D32:AH32" si="5">C32+1</f>
        <v>4</v>
      </c>
      <c r="E32" s="30">
        <f t="shared" si="5"/>
        <v>5</v>
      </c>
      <c r="F32" s="30">
        <f t="shared" si="5"/>
        <v>6</v>
      </c>
      <c r="G32" s="30">
        <f t="shared" si="5"/>
        <v>7</v>
      </c>
      <c r="H32" s="30">
        <f t="shared" si="5"/>
        <v>8</v>
      </c>
      <c r="I32" s="30">
        <f t="shared" si="5"/>
        <v>9</v>
      </c>
      <c r="J32" s="30">
        <f t="shared" si="5"/>
        <v>10</v>
      </c>
      <c r="K32" s="30">
        <f t="shared" si="5"/>
        <v>11</v>
      </c>
      <c r="L32" s="30">
        <f t="shared" si="5"/>
        <v>12</v>
      </c>
      <c r="M32" s="30">
        <f t="shared" si="5"/>
        <v>13</v>
      </c>
      <c r="N32" s="30">
        <f t="shared" si="5"/>
        <v>14</v>
      </c>
      <c r="O32" s="30">
        <f t="shared" si="5"/>
        <v>15</v>
      </c>
      <c r="P32" s="30">
        <f t="shared" si="5"/>
        <v>16</v>
      </c>
      <c r="Q32" s="30">
        <f t="shared" si="5"/>
        <v>17</v>
      </c>
      <c r="R32" s="30">
        <f t="shared" si="5"/>
        <v>18</v>
      </c>
      <c r="S32" s="30">
        <f t="shared" si="5"/>
        <v>19</v>
      </c>
      <c r="T32" s="30">
        <f t="shared" si="5"/>
        <v>20</v>
      </c>
      <c r="U32" s="30">
        <f t="shared" si="5"/>
        <v>21</v>
      </c>
      <c r="V32" s="30">
        <f t="shared" si="5"/>
        <v>22</v>
      </c>
      <c r="W32" s="30">
        <f t="shared" si="5"/>
        <v>23</v>
      </c>
      <c r="X32" s="30">
        <f t="shared" si="5"/>
        <v>24</v>
      </c>
      <c r="Y32" s="30">
        <f t="shared" si="5"/>
        <v>25</v>
      </c>
      <c r="Z32" s="30">
        <f t="shared" si="5"/>
        <v>26</v>
      </c>
      <c r="AA32" s="30">
        <f t="shared" si="5"/>
        <v>27</v>
      </c>
      <c r="AB32" s="30">
        <f t="shared" si="5"/>
        <v>28</v>
      </c>
      <c r="AC32" s="30">
        <f t="shared" si="5"/>
        <v>29</v>
      </c>
      <c r="AD32" s="30">
        <f t="shared" si="5"/>
        <v>30</v>
      </c>
      <c r="AE32" s="30">
        <f t="shared" si="5"/>
        <v>31</v>
      </c>
      <c r="AF32" s="30">
        <f t="shared" si="5"/>
        <v>32</v>
      </c>
      <c r="AG32" s="30">
        <f t="shared" si="5"/>
        <v>33</v>
      </c>
      <c r="AH32" s="30">
        <f t="shared" si="5"/>
        <v>34</v>
      </c>
    </row>
    <row r="33" spans="16:17" hidden="1" x14ac:dyDescent="0.25">
      <c r="P33" s="95"/>
      <c r="Q33" s="95"/>
    </row>
    <row r="34" spans="16:17" hidden="1" x14ac:dyDescent="0.25">
      <c r="P34" s="95"/>
      <c r="Q34" s="95"/>
    </row>
    <row r="35" spans="16:17" hidden="1" x14ac:dyDescent="0.25">
      <c r="P35" s="95"/>
      <c r="Q35" s="95"/>
    </row>
    <row r="36" spans="16:17" hidden="1" x14ac:dyDescent="0.25">
      <c r="P36" s="95"/>
      <c r="Q36" s="95"/>
    </row>
  </sheetData>
  <mergeCells count="20"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  <mergeCell ref="AM2:AN2"/>
    <mergeCell ref="AJ18:AK18"/>
    <mergeCell ref="A1:A3"/>
    <mergeCell ref="B1:J1"/>
    <mergeCell ref="E2:G2"/>
    <mergeCell ref="B2:D2"/>
    <mergeCell ref="I2:I3"/>
    <mergeCell ref="AH2:AH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IO26"/>
  <sheetViews>
    <sheetView showGridLines="0" zoomScaleNormal="100" workbookViewId="0">
      <selection activeCell="L9" sqref="L9"/>
    </sheetView>
  </sheetViews>
  <sheetFormatPr defaultColWidth="0" defaultRowHeight="23.25" zeroHeight="1" x14ac:dyDescent="0.35"/>
  <cols>
    <col min="1" max="1" width="16.5703125" style="75" customWidth="1"/>
    <col min="2" max="2" width="70.42578125" style="76" customWidth="1"/>
    <col min="3" max="3" width="8.42578125" style="76" bestFit="1" customWidth="1"/>
    <col min="4" max="4" width="17.7109375" style="82" customWidth="1"/>
    <col min="5" max="5" width="8.140625" style="76" bestFit="1" customWidth="1"/>
    <col min="6" max="6" width="17.7109375" style="82" customWidth="1"/>
    <col min="7" max="7" width="8.42578125" style="76" bestFit="1" customWidth="1"/>
    <col min="8" max="8" width="17.7109375" style="82" customWidth="1"/>
    <col min="9" max="9" width="8.42578125" style="76" bestFit="1" customWidth="1"/>
    <col min="10" max="10" width="17.7109375" style="82" customWidth="1"/>
    <col min="11" max="11" width="12.28515625" style="76" bestFit="1" customWidth="1"/>
    <col min="12" max="12" width="8.5703125" style="69" customWidth="1"/>
    <col min="13" max="13" width="130.7109375" style="91" bestFit="1" customWidth="1"/>
    <col min="14" max="249" width="0" style="69" hidden="1" customWidth="1"/>
    <col min="250" max="16384" width="22.5703125" style="69" hidden="1"/>
  </cols>
  <sheetData>
    <row r="1" spans="1:13" x14ac:dyDescent="0.35">
      <c r="A1" s="603" t="s">
        <v>387</v>
      </c>
      <c r="B1" s="603" t="s">
        <v>386</v>
      </c>
      <c r="C1" s="596" t="s">
        <v>385</v>
      </c>
      <c r="D1" s="596"/>
      <c r="E1" s="596" t="s">
        <v>388</v>
      </c>
      <c r="F1" s="596"/>
      <c r="G1" s="596" t="s">
        <v>384</v>
      </c>
      <c r="H1" s="596"/>
      <c r="I1" s="596" t="s">
        <v>383</v>
      </c>
      <c r="J1" s="596"/>
      <c r="K1" s="597" t="s">
        <v>382</v>
      </c>
      <c r="M1" s="92" t="s">
        <v>390</v>
      </c>
    </row>
    <row r="2" spans="1:13" x14ac:dyDescent="0.35">
      <c r="A2" s="604"/>
      <c r="B2" s="604"/>
      <c r="C2" s="84" t="s">
        <v>381</v>
      </c>
      <c r="D2" s="85" t="s">
        <v>49</v>
      </c>
      <c r="E2" s="84" t="s">
        <v>381</v>
      </c>
      <c r="F2" s="85" t="s">
        <v>49</v>
      </c>
      <c r="G2" s="84" t="s">
        <v>381</v>
      </c>
      <c r="H2" s="85" t="s">
        <v>49</v>
      </c>
      <c r="I2" s="84" t="s">
        <v>381</v>
      </c>
      <c r="J2" s="85" t="s">
        <v>49</v>
      </c>
      <c r="K2" s="598"/>
      <c r="M2" s="92" t="s">
        <v>391</v>
      </c>
    </row>
    <row r="3" spans="1:13" ht="30.75" customHeight="1" x14ac:dyDescent="0.35">
      <c r="A3" s="599" t="s">
        <v>157</v>
      </c>
      <c r="B3" s="72" t="s">
        <v>19</v>
      </c>
      <c r="C3" s="73">
        <f>COUNTIFS('Quadro Geral'!$F:$F,'Matriz de Obj. Estrat.'!$B3,'Quadro Geral'!$B:$B,"P")</f>
        <v>0</v>
      </c>
      <c r="D3" s="81">
        <f>SUMIFS('Quadro Geral'!$L:$L,'Quadro Geral'!$F:$F,'Matriz de Obj. Estrat.'!$B3,'Quadro Geral'!$B:$B,"P")</f>
        <v>0</v>
      </c>
      <c r="E3" s="73">
        <f>COUNTIFS('Quadro Geral'!$F:$F,'Matriz de Obj. Estrat.'!$B3,'Quadro Geral'!$B:$B,"PE")</f>
        <v>0</v>
      </c>
      <c r="F3" s="81">
        <f>SUMIFS('Quadro Geral'!$L:$L,'Quadro Geral'!$F:$F,'Matriz de Obj. Estrat.'!$B3,'Quadro Geral'!$B:$B,"PE")</f>
        <v>0</v>
      </c>
      <c r="G3" s="73">
        <f>COUNTIFS('Quadro Geral'!$F:$F,'Matriz de Obj. Estrat.'!$B3,'Quadro Geral'!$B:$B,"A")</f>
        <v>0</v>
      </c>
      <c r="H3" s="81">
        <f>SUMIFS('Quadro Geral'!$L:$L,'Quadro Geral'!$F:$F,'Matriz de Obj. Estrat.'!$B3,'Quadro Geral'!$B:$B,"A")</f>
        <v>0</v>
      </c>
      <c r="I3" s="73">
        <f>C3+E3+G3</f>
        <v>0</v>
      </c>
      <c r="J3" s="81">
        <f>D3+F3+H3</f>
        <v>0</v>
      </c>
      <c r="K3" s="74">
        <f t="shared" ref="K3:K18" si="0">IFERROR(J3/$J$19*100,0)</f>
        <v>0</v>
      </c>
      <c r="M3" s="91" t="s">
        <v>30</v>
      </c>
    </row>
    <row r="4" spans="1:13" ht="30.75" customHeight="1" x14ac:dyDescent="0.35">
      <c r="A4" s="599"/>
      <c r="B4" s="72" t="s">
        <v>141</v>
      </c>
      <c r="C4" s="73">
        <f>COUNTIFS('Quadro Geral'!$F:$F,'Matriz de Obj. Estrat.'!$B4,'Quadro Geral'!$B:$B,"P")</f>
        <v>0</v>
      </c>
      <c r="D4" s="81">
        <f>SUMIFS('Quadro Geral'!$L:$L,'Quadro Geral'!$F:$F,'Matriz de Obj. Estrat.'!$B4,'Quadro Geral'!$B:$B,"P")</f>
        <v>0</v>
      </c>
      <c r="E4" s="73">
        <f>COUNTIFS('Quadro Geral'!$F:$F,'Matriz de Obj. Estrat.'!$B4,'Quadro Geral'!$B:$B,"PE")</f>
        <v>0</v>
      </c>
      <c r="F4" s="81">
        <f>SUMIFS('Quadro Geral'!$L:$L,'Quadro Geral'!$F:$F,'Matriz de Obj. Estrat.'!$B4,'Quadro Geral'!$B:$B,"PE")</f>
        <v>0</v>
      </c>
      <c r="G4" s="73">
        <f>COUNTIFS('Quadro Geral'!$F:$F,'Matriz de Obj. Estrat.'!$B4,'Quadro Geral'!$B:$B,"A")</f>
        <v>0</v>
      </c>
      <c r="H4" s="81">
        <f>SUMIFS('Quadro Geral'!$L:$L,'Quadro Geral'!$F:$F,'Matriz de Obj. Estrat.'!$B4,'Quadro Geral'!$B:$B,"A")</f>
        <v>0</v>
      </c>
      <c r="I4" s="73">
        <f t="shared" ref="I4:I18" si="1">C4+E4+G4</f>
        <v>0</v>
      </c>
      <c r="J4" s="81">
        <f t="shared" ref="J4:J18" si="2">D4+F4+H4</f>
        <v>0</v>
      </c>
      <c r="K4" s="74">
        <f t="shared" si="0"/>
        <v>0</v>
      </c>
      <c r="M4" s="91" t="s">
        <v>32</v>
      </c>
    </row>
    <row r="5" spans="1:13" ht="30.75" customHeight="1" x14ac:dyDescent="0.35">
      <c r="A5" s="600" t="s">
        <v>380</v>
      </c>
      <c r="B5" s="72" t="s">
        <v>20</v>
      </c>
      <c r="C5" s="73">
        <f>COUNTIFS('Quadro Geral'!$F:$F,'Matriz de Obj. Estrat.'!$B5,'Quadro Geral'!$B:$B,"P")</f>
        <v>0</v>
      </c>
      <c r="D5" s="81">
        <f>SUMIFS('Quadro Geral'!$L:$L,'Quadro Geral'!$F:$F,'Matriz de Obj. Estrat.'!$B5,'Quadro Geral'!$B:$B,"P")</f>
        <v>0</v>
      </c>
      <c r="E5" s="73">
        <f>COUNTIFS('Quadro Geral'!$F:$F,'Matriz de Obj. Estrat.'!$B5,'Quadro Geral'!$B:$B,"PE")</f>
        <v>0</v>
      </c>
      <c r="F5" s="81">
        <f>SUMIFS('Quadro Geral'!$L:$L,'Quadro Geral'!$F:$F,'Matriz de Obj. Estrat.'!$B5,'Quadro Geral'!$B:$B,"PE")</f>
        <v>0</v>
      </c>
      <c r="G5" s="73">
        <f>COUNTIFS('Quadro Geral'!$F:$F,'Matriz de Obj. Estrat.'!$B5,'Quadro Geral'!$B:$B,"A")</f>
        <v>2</v>
      </c>
      <c r="H5" s="81">
        <f>SUMIFS('Quadro Geral'!$L:$L,'Quadro Geral'!$F:$F,'Matriz de Obj. Estrat.'!$B5,'Quadro Geral'!$B:$B,"A")</f>
        <v>450704.64999999997</v>
      </c>
      <c r="I5" s="73">
        <f t="shared" si="1"/>
        <v>2</v>
      </c>
      <c r="J5" s="81">
        <f t="shared" si="2"/>
        <v>450704.64999999997</v>
      </c>
      <c r="K5" s="74">
        <f t="shared" si="0"/>
        <v>28.619139011452056</v>
      </c>
    </row>
    <row r="6" spans="1:13" ht="30.75" customHeight="1" x14ac:dyDescent="0.35">
      <c r="A6" s="600"/>
      <c r="B6" s="72" t="s">
        <v>109</v>
      </c>
      <c r="C6" s="73">
        <f>COUNTIFS('Quadro Geral'!$F:$F,'Matriz de Obj. Estrat.'!$B6,'Quadro Geral'!$B:$B,"P")</f>
        <v>0</v>
      </c>
      <c r="D6" s="81">
        <f>SUMIFS('Quadro Geral'!$L:$L,'Quadro Geral'!$F:$F,'Matriz de Obj. Estrat.'!$B6,'Quadro Geral'!$B:$B,"P")</f>
        <v>0</v>
      </c>
      <c r="E6" s="73">
        <f>COUNTIFS('Quadro Geral'!$F:$F,'Matriz de Obj. Estrat.'!$B6,'Quadro Geral'!$B:$B,"PE")</f>
        <v>0</v>
      </c>
      <c r="F6" s="81">
        <f>SUMIFS('Quadro Geral'!$L:$L,'Quadro Geral'!$F:$F,'Matriz de Obj. Estrat.'!$B6,'Quadro Geral'!$B:$B,"PE")</f>
        <v>0</v>
      </c>
      <c r="G6" s="73">
        <f>COUNTIFS('Quadro Geral'!$F:$F,'Matriz de Obj. Estrat.'!$B6,'Quadro Geral'!$B:$B,"A")</f>
        <v>2</v>
      </c>
      <c r="H6" s="81">
        <f>SUMIFS('Quadro Geral'!$L:$L,'Quadro Geral'!$F:$F,'Matriz de Obj. Estrat.'!$B6,'Quadro Geral'!$B:$B,"A")</f>
        <v>210654.5</v>
      </c>
      <c r="I6" s="73">
        <f t="shared" si="1"/>
        <v>2</v>
      </c>
      <c r="J6" s="81">
        <f t="shared" si="2"/>
        <v>210654.5</v>
      </c>
      <c r="K6" s="74">
        <f t="shared" si="0"/>
        <v>13.376277388946237</v>
      </c>
    </row>
    <row r="7" spans="1:13" ht="30.75" customHeight="1" x14ac:dyDescent="0.35">
      <c r="A7" s="600"/>
      <c r="B7" s="72" t="s">
        <v>22</v>
      </c>
      <c r="C7" s="73">
        <f>COUNTIFS('Quadro Geral'!$F:$F,'Matriz de Obj. Estrat.'!$B7,'Quadro Geral'!$B:$B,"P")</f>
        <v>1</v>
      </c>
      <c r="D7" s="81">
        <f>SUMIFS('Quadro Geral'!$L:$L,'Quadro Geral'!$F:$F,'Matriz de Obj. Estrat.'!$B7,'Quadro Geral'!$B:$B,"P")</f>
        <v>0</v>
      </c>
      <c r="E7" s="73">
        <f>COUNTIFS('Quadro Geral'!$F:$F,'Matriz de Obj. Estrat.'!$B7,'Quadro Geral'!$B:$B,"PE")</f>
        <v>0</v>
      </c>
      <c r="F7" s="81">
        <f>SUMIFS('Quadro Geral'!$L:$L,'Quadro Geral'!$F:$F,'Matriz de Obj. Estrat.'!$B7,'Quadro Geral'!$B:$B,"PE")</f>
        <v>0</v>
      </c>
      <c r="G7" s="73">
        <f>COUNTIFS('Quadro Geral'!$F:$F,'Matriz de Obj. Estrat.'!$B7,'Quadro Geral'!$B:$B,"A")</f>
        <v>0</v>
      </c>
      <c r="H7" s="81">
        <f>SUMIFS('Quadro Geral'!$L:$L,'Quadro Geral'!$F:$F,'Matriz de Obj. Estrat.'!$B7,'Quadro Geral'!$B:$B,"A")</f>
        <v>0</v>
      </c>
      <c r="I7" s="73">
        <f t="shared" si="1"/>
        <v>1</v>
      </c>
      <c r="J7" s="81">
        <f t="shared" si="2"/>
        <v>0</v>
      </c>
      <c r="K7" s="74">
        <f t="shared" si="0"/>
        <v>0</v>
      </c>
    </row>
    <row r="8" spans="1:13" ht="30.75" customHeight="1" x14ac:dyDescent="0.35">
      <c r="A8" s="600"/>
      <c r="B8" s="72" t="s">
        <v>121</v>
      </c>
      <c r="C8" s="73">
        <f>COUNTIFS('Quadro Geral'!$F:$F,'Matriz de Obj. Estrat.'!$B8,'Quadro Geral'!$B:$B,"P")</f>
        <v>0</v>
      </c>
      <c r="D8" s="81">
        <f>SUMIFS('Quadro Geral'!$L:$L,'Quadro Geral'!$F:$F,'Matriz de Obj. Estrat.'!$B8,'Quadro Geral'!$B:$B,"P")</f>
        <v>0</v>
      </c>
      <c r="E8" s="73">
        <f>COUNTIFS('Quadro Geral'!$F:$F,'Matriz de Obj. Estrat.'!$B8,'Quadro Geral'!$B:$B,"PE")</f>
        <v>0</v>
      </c>
      <c r="F8" s="81">
        <f>SUMIFS('Quadro Geral'!$L:$L,'Quadro Geral'!$F:$F,'Matriz de Obj. Estrat.'!$B8,'Quadro Geral'!$B:$B,"PE")</f>
        <v>0</v>
      </c>
      <c r="G8" s="73">
        <f>COUNTIFS('Quadro Geral'!$F:$F,'Matriz de Obj. Estrat.'!$B8,'Quadro Geral'!$B:$B,"A")</f>
        <v>0</v>
      </c>
      <c r="H8" s="81">
        <f>SUMIFS('Quadro Geral'!$L:$L,'Quadro Geral'!$F:$F,'Matriz de Obj. Estrat.'!$B8,'Quadro Geral'!$B:$B,"A")</f>
        <v>0</v>
      </c>
      <c r="I8" s="73">
        <f t="shared" si="1"/>
        <v>0</v>
      </c>
      <c r="J8" s="81">
        <f t="shared" si="2"/>
        <v>0</v>
      </c>
      <c r="K8" s="74">
        <f t="shared" si="0"/>
        <v>0</v>
      </c>
    </row>
    <row r="9" spans="1:13" ht="30.75" customHeight="1" x14ac:dyDescent="0.35">
      <c r="A9" s="600"/>
      <c r="B9" s="72" t="s">
        <v>142</v>
      </c>
      <c r="C9" s="73">
        <f>COUNTIFS('Quadro Geral'!$F:$F,'Matriz de Obj. Estrat.'!$B9,'Quadro Geral'!$B:$B,"P")</f>
        <v>0</v>
      </c>
      <c r="D9" s="81">
        <f>SUMIFS('Quadro Geral'!$L:$L,'Quadro Geral'!$F:$F,'Matriz de Obj. Estrat.'!$B9,'Quadro Geral'!$B:$B,"P")</f>
        <v>0</v>
      </c>
      <c r="E9" s="73">
        <f>COUNTIFS('Quadro Geral'!$F:$F,'Matriz de Obj. Estrat.'!$B9,'Quadro Geral'!$B:$B,"PE")</f>
        <v>0</v>
      </c>
      <c r="F9" s="81">
        <f>SUMIFS('Quadro Geral'!$L:$L,'Quadro Geral'!$F:$F,'Matriz de Obj. Estrat.'!$B9,'Quadro Geral'!$B:$B,"PE")</f>
        <v>0</v>
      </c>
      <c r="G9" s="73">
        <f>COUNTIFS('Quadro Geral'!$F:$F,'Matriz de Obj. Estrat.'!$B9,'Quadro Geral'!$B:$B,"A")</f>
        <v>0</v>
      </c>
      <c r="H9" s="81">
        <f>SUMIFS('Quadro Geral'!$L:$L,'Quadro Geral'!$F:$F,'Matriz de Obj. Estrat.'!$B9,'Quadro Geral'!$B:$B,"A")</f>
        <v>0</v>
      </c>
      <c r="I9" s="73">
        <f t="shared" si="1"/>
        <v>0</v>
      </c>
      <c r="J9" s="81">
        <f t="shared" si="2"/>
        <v>0</v>
      </c>
      <c r="K9" s="74">
        <f t="shared" si="0"/>
        <v>0</v>
      </c>
    </row>
    <row r="10" spans="1:13" ht="30.75" customHeight="1" x14ac:dyDescent="0.35">
      <c r="A10" s="600"/>
      <c r="B10" s="72" t="s">
        <v>115</v>
      </c>
      <c r="C10" s="73">
        <f>COUNTIFS('Quadro Geral'!$F:$F,'Matriz de Obj. Estrat.'!$B10,'Quadro Geral'!$B:$B,"P")</f>
        <v>0</v>
      </c>
      <c r="D10" s="81">
        <f>SUMIFS('Quadro Geral'!$L:$L,'Quadro Geral'!$F:$F,'Matriz de Obj. Estrat.'!$B10,'Quadro Geral'!$B:$B,"P")</f>
        <v>0</v>
      </c>
      <c r="E10" s="73">
        <f>COUNTIFS('Quadro Geral'!$F:$F,'Matriz de Obj. Estrat.'!$B10,'Quadro Geral'!$B:$B,"PE")</f>
        <v>0</v>
      </c>
      <c r="F10" s="81">
        <f>SUMIFS('Quadro Geral'!$L:$L,'Quadro Geral'!$F:$F,'Matriz de Obj. Estrat.'!$B10,'Quadro Geral'!$B:$B,"PE")</f>
        <v>0</v>
      </c>
      <c r="G10" s="73">
        <f>COUNTIFS('Quadro Geral'!$F:$F,'Matriz de Obj. Estrat.'!$B10,'Quadro Geral'!$B:$B,"A")</f>
        <v>1</v>
      </c>
      <c r="H10" s="81">
        <f>SUMIFS('Quadro Geral'!$L:$L,'Quadro Geral'!$F:$F,'Matriz de Obj. Estrat.'!$B10,'Quadro Geral'!$B:$B,"A")</f>
        <v>73870.23</v>
      </c>
      <c r="I10" s="73">
        <f t="shared" si="1"/>
        <v>1</v>
      </c>
      <c r="J10" s="81">
        <f t="shared" si="2"/>
        <v>73870.23</v>
      </c>
      <c r="K10" s="74">
        <f t="shared" si="0"/>
        <v>4.6906602387571015</v>
      </c>
    </row>
    <row r="11" spans="1:13" ht="30.75" customHeight="1" x14ac:dyDescent="0.35">
      <c r="A11" s="600"/>
      <c r="B11" s="72" t="s">
        <v>25</v>
      </c>
      <c r="C11" s="73">
        <f>COUNTIFS('Quadro Geral'!$F:$F,'Matriz de Obj. Estrat.'!$B11,'Quadro Geral'!$B:$B,"P")</f>
        <v>0</v>
      </c>
      <c r="D11" s="81">
        <f>SUMIFS('Quadro Geral'!$L:$L,'Quadro Geral'!$F:$F,'Matriz de Obj. Estrat.'!$B11,'Quadro Geral'!$B:$B,"P")</f>
        <v>0</v>
      </c>
      <c r="E11" s="73">
        <f>COUNTIFS('Quadro Geral'!$F:$F,'Matriz de Obj. Estrat.'!$B11,'Quadro Geral'!$B:$B,"PE")</f>
        <v>0</v>
      </c>
      <c r="F11" s="81">
        <f>SUMIFS('Quadro Geral'!$L:$L,'Quadro Geral'!$F:$F,'Matriz de Obj. Estrat.'!$B11,'Quadro Geral'!$B:$B,"PE")</f>
        <v>0</v>
      </c>
      <c r="G11" s="73">
        <f>COUNTIFS('Quadro Geral'!$F:$F,'Matriz de Obj. Estrat.'!$B11,'Quadro Geral'!$B:$B,"A")</f>
        <v>1</v>
      </c>
      <c r="H11" s="81">
        <f>SUMIFS('Quadro Geral'!$L:$L,'Quadro Geral'!$F:$F,'Matriz de Obj. Estrat.'!$B11,'Quadro Geral'!$B:$B,"A")</f>
        <v>119239</v>
      </c>
      <c r="I11" s="73">
        <f t="shared" si="1"/>
        <v>1</v>
      </c>
      <c r="J11" s="81">
        <f t="shared" si="2"/>
        <v>119239</v>
      </c>
      <c r="K11" s="74">
        <f t="shared" si="0"/>
        <v>7.5715161061385361</v>
      </c>
    </row>
    <row r="12" spans="1:13" ht="30.75" customHeight="1" x14ac:dyDescent="0.35">
      <c r="A12" s="600"/>
      <c r="B12" s="72" t="s">
        <v>26</v>
      </c>
      <c r="C12" s="73">
        <f>COUNTIFS('Quadro Geral'!$F:$F,'Matriz de Obj. Estrat.'!$B12,'Quadro Geral'!$B:$B,"P")</f>
        <v>0</v>
      </c>
      <c r="D12" s="81">
        <f>SUMIFS('Quadro Geral'!$L:$L,'Quadro Geral'!$F:$F,'Matriz de Obj. Estrat.'!$B12,'Quadro Geral'!$B:$B,"P")</f>
        <v>0</v>
      </c>
      <c r="E12" s="73">
        <f>COUNTIFS('Quadro Geral'!$F:$F,'Matriz de Obj. Estrat.'!$B12,'Quadro Geral'!$B:$B,"PE")</f>
        <v>0</v>
      </c>
      <c r="F12" s="81">
        <f>SUMIFS('Quadro Geral'!$L:$L,'Quadro Geral'!$F:$F,'Matriz de Obj. Estrat.'!$B12,'Quadro Geral'!$B:$B,"PE")</f>
        <v>0</v>
      </c>
      <c r="G12" s="73">
        <f>COUNTIFS('Quadro Geral'!$F:$F,'Matriz de Obj. Estrat.'!$B12,'Quadro Geral'!$B:$B,"A")</f>
        <v>1</v>
      </c>
      <c r="H12" s="81">
        <f>SUMIFS('Quadro Geral'!$L:$L,'Quadro Geral'!$F:$F,'Matriz de Obj. Estrat.'!$B12,'Quadro Geral'!$B:$B,"A")</f>
        <v>18913.830000000002</v>
      </c>
      <c r="I12" s="73">
        <f t="shared" si="1"/>
        <v>1</v>
      </c>
      <c r="J12" s="81">
        <f t="shared" si="2"/>
        <v>18913.830000000002</v>
      </c>
      <c r="K12" s="74">
        <f t="shared" si="0"/>
        <v>1.2010027631376163</v>
      </c>
    </row>
    <row r="13" spans="1:13" ht="30.75" customHeight="1" x14ac:dyDescent="0.35">
      <c r="A13" s="600"/>
      <c r="B13" s="72" t="s">
        <v>27</v>
      </c>
      <c r="C13" s="73">
        <f>COUNTIFS('Quadro Geral'!$F:$F,'Matriz de Obj. Estrat.'!$B13,'Quadro Geral'!$B:$B,"P")</f>
        <v>1</v>
      </c>
      <c r="D13" s="81">
        <f>SUMIFS('Quadro Geral'!$L:$L,'Quadro Geral'!$F:$F,'Matriz de Obj. Estrat.'!$B13,'Quadro Geral'!$B:$B,"P")</f>
        <v>0</v>
      </c>
      <c r="E13" s="73">
        <f>COUNTIFS('Quadro Geral'!$F:$F,'Matriz de Obj. Estrat.'!$B13,'Quadro Geral'!$B:$B,"PE")</f>
        <v>0</v>
      </c>
      <c r="F13" s="81">
        <f>SUMIFS('Quadro Geral'!$L:$L,'Quadro Geral'!$F:$F,'Matriz de Obj. Estrat.'!$B13,'Quadro Geral'!$B:$B,"PE")</f>
        <v>0</v>
      </c>
      <c r="G13" s="73">
        <f>COUNTIFS('Quadro Geral'!$F:$F,'Matriz de Obj. Estrat.'!$B13,'Quadro Geral'!$B:$B,"A")</f>
        <v>0</v>
      </c>
      <c r="H13" s="81">
        <f>SUMIFS('Quadro Geral'!$L:$L,'Quadro Geral'!$F:$F,'Matriz de Obj. Estrat.'!$B13,'Quadro Geral'!$B:$B,"A")</f>
        <v>0</v>
      </c>
      <c r="I13" s="73">
        <f t="shared" si="1"/>
        <v>1</v>
      </c>
      <c r="J13" s="81">
        <f t="shared" si="2"/>
        <v>0</v>
      </c>
      <c r="K13" s="74">
        <f t="shared" si="0"/>
        <v>0</v>
      </c>
    </row>
    <row r="14" spans="1:13" ht="30.75" customHeight="1" x14ac:dyDescent="0.35">
      <c r="A14" s="600"/>
      <c r="B14" s="72" t="s">
        <v>28</v>
      </c>
      <c r="C14" s="73">
        <f>COUNTIFS('Quadro Geral'!$F:$F,'Matriz de Obj. Estrat.'!$B14,'Quadro Geral'!$B:$B,"P")</f>
        <v>0</v>
      </c>
      <c r="D14" s="81">
        <f>SUMIFS('Quadro Geral'!$L:$L,'Quadro Geral'!$F:$F,'Matriz de Obj. Estrat.'!$B14,'Quadro Geral'!$B:$B,"P")</f>
        <v>0</v>
      </c>
      <c r="E14" s="73">
        <f>COUNTIFS('Quadro Geral'!$F:$F,'Matriz de Obj. Estrat.'!$B14,'Quadro Geral'!$B:$B,"PE")</f>
        <v>0</v>
      </c>
      <c r="F14" s="81">
        <f>SUMIFS('Quadro Geral'!$L:$L,'Quadro Geral'!$F:$F,'Matriz de Obj. Estrat.'!$B14,'Quadro Geral'!$B:$B,"PE")</f>
        <v>0</v>
      </c>
      <c r="G14" s="73">
        <f>COUNTIFS('Quadro Geral'!$F:$F,'Matriz de Obj. Estrat.'!$B14,'Quadro Geral'!$B:$B,"A")</f>
        <v>2</v>
      </c>
      <c r="H14" s="81">
        <f>SUMIFS('Quadro Geral'!$L:$L,'Quadro Geral'!$F:$F,'Matriz de Obj. Estrat.'!$B14,'Quadro Geral'!$B:$B,"A")</f>
        <v>18301.09</v>
      </c>
      <c r="I14" s="73">
        <f t="shared" si="1"/>
        <v>2</v>
      </c>
      <c r="J14" s="81">
        <f t="shared" si="2"/>
        <v>18301.09</v>
      </c>
      <c r="K14" s="74">
        <f t="shared" si="0"/>
        <v>1.162094597362364</v>
      </c>
    </row>
    <row r="15" spans="1:13" ht="30.75" customHeight="1" x14ac:dyDescent="0.35">
      <c r="A15" s="600"/>
      <c r="B15" s="72" t="s">
        <v>29</v>
      </c>
      <c r="C15" s="73">
        <f>COUNTIFS('Quadro Geral'!$F:$F,'Matriz de Obj. Estrat.'!$B15,'Quadro Geral'!$B:$B,"P")</f>
        <v>0</v>
      </c>
      <c r="D15" s="81">
        <f>SUMIFS('Quadro Geral'!$L:$L,'Quadro Geral'!$F:$F,'Matriz de Obj. Estrat.'!$B15,'Quadro Geral'!$B:$B,"P")</f>
        <v>0</v>
      </c>
      <c r="E15" s="73">
        <f>COUNTIFS('Quadro Geral'!$F:$F,'Matriz de Obj. Estrat.'!$B15,'Quadro Geral'!$B:$B,"PE")</f>
        <v>0</v>
      </c>
      <c r="F15" s="81">
        <f>SUMIFS('Quadro Geral'!$L:$L,'Quadro Geral'!$F:$F,'Matriz de Obj. Estrat.'!$B15,'Quadro Geral'!$B:$B,"PE")</f>
        <v>0</v>
      </c>
      <c r="G15" s="73">
        <f>COUNTIFS('Quadro Geral'!$F:$F,'Matriz de Obj. Estrat.'!$B15,'Quadro Geral'!$B:$B,"A")</f>
        <v>1</v>
      </c>
      <c r="H15" s="81">
        <f>SUMIFS('Quadro Geral'!$L:$L,'Quadro Geral'!$F:$F,'Matriz de Obj. Estrat.'!$B15,'Quadro Geral'!$B:$B,"A")</f>
        <v>5407.21</v>
      </c>
      <c r="I15" s="73">
        <f t="shared" si="1"/>
        <v>1</v>
      </c>
      <c r="J15" s="81">
        <f t="shared" si="2"/>
        <v>5407.21</v>
      </c>
      <c r="K15" s="74">
        <f t="shared" si="0"/>
        <v>0.34335056151320753</v>
      </c>
    </row>
    <row r="16" spans="1:13" ht="30.75" customHeight="1" x14ac:dyDescent="0.35">
      <c r="A16" s="601" t="s">
        <v>379</v>
      </c>
      <c r="B16" s="72" t="s">
        <v>30</v>
      </c>
      <c r="C16" s="73">
        <f>COUNTIFS('Quadro Geral'!$F:$F,'Matriz de Obj. Estrat.'!$B16,'Quadro Geral'!$B:$B,"P")</f>
        <v>1</v>
      </c>
      <c r="D16" s="81">
        <f>SUMIFS('Quadro Geral'!$L:$L,'Quadro Geral'!$F:$F,'Matriz de Obj. Estrat.'!$B16,'Quadro Geral'!$B:$B,"P")</f>
        <v>20129.97</v>
      </c>
      <c r="E16" s="73">
        <f>COUNTIFS('Quadro Geral'!$F:$F,'Matriz de Obj. Estrat.'!$B16,'Quadro Geral'!$B:$B,"PE")</f>
        <v>0</v>
      </c>
      <c r="F16" s="81">
        <f>SUMIFS('Quadro Geral'!$L:$L,'Quadro Geral'!$F:$F,'Matriz de Obj. Estrat.'!$B16,'Quadro Geral'!$B:$B,"PE")</f>
        <v>0</v>
      </c>
      <c r="G16" s="73">
        <f>COUNTIFS('Quadro Geral'!$F:$F,'Matriz de Obj. Estrat.'!$B16,'Quadro Geral'!$B:$B,"A")</f>
        <v>0</v>
      </c>
      <c r="H16" s="81">
        <f>SUMIFS('Quadro Geral'!$L:$L,'Quadro Geral'!$F:$F,'Matriz de Obj. Estrat.'!$B16,'Quadro Geral'!$B:$B,"A")</f>
        <v>0</v>
      </c>
      <c r="I16" s="73">
        <f t="shared" si="1"/>
        <v>1</v>
      </c>
      <c r="J16" s="81">
        <f t="shared" si="2"/>
        <v>20129.97</v>
      </c>
      <c r="K16" s="74">
        <f t="shared" si="0"/>
        <v>1.2782260172517848</v>
      </c>
    </row>
    <row r="17" spans="1:12" ht="30.75" customHeight="1" x14ac:dyDescent="0.35">
      <c r="A17" s="601"/>
      <c r="B17" s="72" t="s">
        <v>31</v>
      </c>
      <c r="C17" s="73">
        <f>COUNTIFS('Quadro Geral'!$F:$F,'Matriz de Obj. Estrat.'!$B17,'Quadro Geral'!$B:$B,"P")</f>
        <v>0</v>
      </c>
      <c r="D17" s="81">
        <f>SUMIFS('Quadro Geral'!$L:$L,'Quadro Geral'!$F:$F,'Matriz de Obj. Estrat.'!$B17,'Quadro Geral'!$B:$B,"P")</f>
        <v>0</v>
      </c>
      <c r="E17" s="73">
        <f>COUNTIFS('Quadro Geral'!$F:$F,'Matriz de Obj. Estrat.'!$B17,'Quadro Geral'!$B:$B,"PE")</f>
        <v>0</v>
      </c>
      <c r="F17" s="81">
        <f>SUMIFS('Quadro Geral'!$L:$L,'Quadro Geral'!$F:$F,'Matriz de Obj. Estrat.'!$B17,'Quadro Geral'!$B:$B,"PE")</f>
        <v>0</v>
      </c>
      <c r="G17" s="73">
        <f>COUNTIFS('Quadro Geral'!$F:$F,'Matriz de Obj. Estrat.'!$B17,'Quadro Geral'!$B:$B,"A")</f>
        <v>0</v>
      </c>
      <c r="H17" s="81">
        <f>SUMIFS('Quadro Geral'!$L:$L,'Quadro Geral'!$F:$F,'Matriz de Obj. Estrat.'!$B17,'Quadro Geral'!$B:$B,"A")</f>
        <v>0</v>
      </c>
      <c r="I17" s="73">
        <f t="shared" si="1"/>
        <v>0</v>
      </c>
      <c r="J17" s="81">
        <f t="shared" si="2"/>
        <v>0</v>
      </c>
      <c r="K17" s="74">
        <f t="shared" si="0"/>
        <v>0</v>
      </c>
    </row>
    <row r="18" spans="1:12" ht="30.75" customHeight="1" x14ac:dyDescent="0.35">
      <c r="A18" s="601"/>
      <c r="B18" s="72" t="s">
        <v>32</v>
      </c>
      <c r="C18" s="73">
        <f>COUNTIFS('Quadro Geral'!$F:$F,'Matriz de Obj. Estrat.'!$B18,'Quadro Geral'!$B:$B,"P")</f>
        <v>0</v>
      </c>
      <c r="D18" s="81">
        <f>SUMIFS('Quadro Geral'!$L:$L,'Quadro Geral'!$F:$F,'Matriz de Obj. Estrat.'!$B18,'Quadro Geral'!$B:$B,"P")</f>
        <v>0</v>
      </c>
      <c r="E18" s="73">
        <f>COUNTIFS('Quadro Geral'!$F:$F,'Matriz de Obj. Estrat.'!$B18,'Quadro Geral'!$B:$B,"PE")</f>
        <v>0</v>
      </c>
      <c r="F18" s="81">
        <f>SUMIFS('Quadro Geral'!$L:$L,'Quadro Geral'!$F:$F,'Matriz de Obj. Estrat.'!$B18,'Quadro Geral'!$B:$B,"PE")</f>
        <v>0</v>
      </c>
      <c r="G18" s="73">
        <f>COUNTIFS('Quadro Geral'!$F:$F,'Matriz de Obj. Estrat.'!$B18,'Quadro Geral'!$B:$B,"A")</f>
        <v>1</v>
      </c>
      <c r="H18" s="81">
        <f>SUMIFS('Quadro Geral'!$L:$L,'Quadro Geral'!$F:$F,'Matriz de Obj. Estrat.'!$B18,'Quadro Geral'!$B:$B,"A")</f>
        <v>657616.03</v>
      </c>
      <c r="I18" s="73">
        <f t="shared" si="1"/>
        <v>1</v>
      </c>
      <c r="J18" s="81">
        <f t="shared" si="2"/>
        <v>657616.03</v>
      </c>
      <c r="K18" s="74">
        <f t="shared" si="0"/>
        <v>41.757733315441115</v>
      </c>
    </row>
    <row r="19" spans="1:12" x14ac:dyDescent="0.35">
      <c r="A19" s="602" t="s">
        <v>6</v>
      </c>
      <c r="B19" s="602"/>
      <c r="C19" s="86">
        <f>SUM(C3:C18)</f>
        <v>3</v>
      </c>
      <c r="D19" s="86">
        <f t="shared" ref="D19:J19" si="3">SUM(D3:D18)</f>
        <v>20129.97</v>
      </c>
      <c r="E19" s="86">
        <f t="shared" si="3"/>
        <v>0</v>
      </c>
      <c r="F19" s="86">
        <f t="shared" si="3"/>
        <v>0</v>
      </c>
      <c r="G19" s="86">
        <f t="shared" si="3"/>
        <v>11</v>
      </c>
      <c r="H19" s="86">
        <f t="shared" si="3"/>
        <v>1554706.5399999998</v>
      </c>
      <c r="I19" s="86">
        <f t="shared" si="3"/>
        <v>14</v>
      </c>
      <c r="J19" s="86">
        <f t="shared" si="3"/>
        <v>1574836.5099999998</v>
      </c>
      <c r="K19" s="87">
        <f>SUM(K3:K18)</f>
        <v>100.00000000000001</v>
      </c>
      <c r="L19" s="70"/>
    </row>
    <row r="20" spans="1:12" x14ac:dyDescent="0.35">
      <c r="D20" s="83"/>
      <c r="E20" s="77"/>
      <c r="F20" s="83"/>
      <c r="G20" s="78"/>
      <c r="H20" s="83"/>
      <c r="I20" s="78"/>
      <c r="J20" s="88">
        <f>'Quadro Geral'!L21</f>
        <v>1574836.51</v>
      </c>
    </row>
    <row r="21" spans="1:12" x14ac:dyDescent="0.35">
      <c r="C21" s="79"/>
      <c r="G21" s="79"/>
      <c r="J21" s="88" t="b">
        <f>J20=J19</f>
        <v>1</v>
      </c>
    </row>
    <row r="22" spans="1:12" hidden="1" x14ac:dyDescent="0.35">
      <c r="E22" s="80"/>
    </row>
    <row r="23" spans="1:12" hidden="1" x14ac:dyDescent="0.35">
      <c r="E23" s="80"/>
      <c r="G23" s="79"/>
    </row>
    <row r="24" spans="1:12" hidden="1" x14ac:dyDescent="0.35">
      <c r="E24" s="80"/>
    </row>
    <row r="25" spans="1:12" hidden="1" x14ac:dyDescent="0.35">
      <c r="A25" s="76"/>
      <c r="I25" s="79"/>
    </row>
    <row r="26" spans="1:12" hidden="1" x14ac:dyDescent="0.35">
      <c r="A26" s="76"/>
      <c r="G26" s="80"/>
      <c r="I26" s="79"/>
    </row>
  </sheetData>
  <mergeCells count="11">
    <mergeCell ref="A16:A18"/>
    <mergeCell ref="A19:B19"/>
    <mergeCell ref="E1:F1"/>
    <mergeCell ref="A1:A2"/>
    <mergeCell ref="B1:B2"/>
    <mergeCell ref="C1:D1"/>
    <mergeCell ref="G1:H1"/>
    <mergeCell ref="I1:J1"/>
    <mergeCell ref="K1:K2"/>
    <mergeCell ref="A3:A4"/>
    <mergeCell ref="A5:A15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5"/>
  <sheetViews>
    <sheetView showGridLines="0" topLeftCell="A2" zoomScale="75" zoomScaleNormal="75" zoomScaleSheetLayoutView="90" workbookViewId="0">
      <selection sqref="A1:K1"/>
    </sheetView>
  </sheetViews>
  <sheetFormatPr defaultColWidth="0" defaultRowHeight="15.75" zeroHeight="1" x14ac:dyDescent="0.25"/>
  <cols>
    <col min="1" max="11" width="9.140625" style="6" customWidth="1"/>
    <col min="12" max="15" width="9.140625" style="4" hidden="1" customWidth="1"/>
    <col min="16" max="21" width="0" style="4" hidden="1" customWidth="1"/>
    <col min="22" max="16384" width="9.140625" style="4" hidden="1"/>
  </cols>
  <sheetData>
    <row r="1" spans="1:21" s="3" customFormat="1" ht="51.75" hidden="1" customHeight="1" x14ac:dyDescent="0.25">
      <c r="A1" s="394" t="s">
        <v>223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5"/>
      <c r="M1" s="5"/>
      <c r="N1" s="5"/>
      <c r="O1" s="5"/>
      <c r="P1" s="5"/>
    </row>
    <row r="2" spans="1:21" x14ac:dyDescent="0.25">
      <c r="A2" s="392" t="s">
        <v>544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21" ht="379.5" customHeight="1" x14ac:dyDescent="0.25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89"/>
      <c r="M3" s="90"/>
      <c r="N3" s="90"/>
      <c r="O3" s="90"/>
      <c r="P3" s="90"/>
      <c r="Q3" s="90"/>
      <c r="R3" s="90"/>
      <c r="S3" s="90"/>
      <c r="T3" s="90"/>
      <c r="U3" s="90"/>
    </row>
    <row r="4" spans="1:21" x14ac:dyDescent="0.25">
      <c r="A4" s="392" t="s">
        <v>136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1"/>
      <c r="M4" s="1"/>
      <c r="N4" s="1"/>
      <c r="O4" s="1"/>
      <c r="P4" s="1"/>
    </row>
    <row r="5" spans="1:21" ht="300" customHeight="1" x14ac:dyDescent="0.25"/>
  </sheetData>
  <mergeCells count="4">
    <mergeCell ref="A4:K4"/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19050</xdr:rowOff>
              </from>
              <to>
                <xdr:col>10</xdr:col>
                <xdr:colOff>581025</xdr:colOff>
                <xdr:row>2</xdr:row>
                <xdr:rowOff>4800600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127"/>
  <sheetViews>
    <sheetView showGridLines="0" topLeftCell="A77" zoomScale="80" zoomScaleNormal="80" zoomScaleSheetLayoutView="50" workbookViewId="0">
      <selection activeCell="AB86" sqref="AB86"/>
    </sheetView>
  </sheetViews>
  <sheetFormatPr defaultColWidth="1.85546875" defaultRowHeight="23.25" zeroHeight="1" x14ac:dyDescent="0.35"/>
  <cols>
    <col min="1" max="1" width="74.7109375" style="120" customWidth="1"/>
    <col min="2" max="2" width="81" style="121" customWidth="1"/>
    <col min="3" max="3" width="11.5703125" style="122" customWidth="1"/>
    <col min="4" max="4" width="16.42578125" style="121" customWidth="1"/>
    <col min="5" max="5" width="17" style="121" customWidth="1"/>
    <col min="6" max="6" width="17" style="123" customWidth="1"/>
    <col min="7" max="7" width="19.140625" style="346" hidden="1" customWidth="1"/>
    <col min="8" max="8" width="36.85546875" style="122" hidden="1" customWidth="1"/>
    <col min="9" max="16384" width="1.85546875" style="96"/>
  </cols>
  <sheetData>
    <row r="1" spans="1:8" s="97" customFormat="1" ht="48" hidden="1" customHeight="1" x14ac:dyDescent="0.35">
      <c r="A1" s="400" t="s">
        <v>218</v>
      </c>
      <c r="B1" s="401"/>
      <c r="C1" s="401"/>
      <c r="D1" s="401"/>
      <c r="E1" s="401"/>
      <c r="F1" s="401"/>
      <c r="G1" s="345"/>
      <c r="H1" s="98"/>
    </row>
    <row r="2" spans="1:8" s="97" customFormat="1" x14ac:dyDescent="0.35">
      <c r="A2" s="402" t="s">
        <v>597</v>
      </c>
      <c r="B2" s="402"/>
      <c r="C2" s="402"/>
      <c r="D2" s="402"/>
      <c r="E2" s="402"/>
      <c r="F2" s="402"/>
      <c r="G2" s="345"/>
      <c r="H2" s="98"/>
    </row>
    <row r="3" spans="1:8" s="97" customFormat="1" x14ac:dyDescent="0.35">
      <c r="A3" s="402" t="s">
        <v>33</v>
      </c>
      <c r="B3" s="402"/>
      <c r="C3" s="402"/>
      <c r="D3" s="402"/>
      <c r="E3" s="402"/>
      <c r="F3" s="402"/>
      <c r="G3" s="345"/>
      <c r="H3" s="98"/>
    </row>
    <row r="4" spans="1:8" s="97" customFormat="1" ht="21" customHeight="1" x14ac:dyDescent="0.35">
      <c r="A4" s="99"/>
      <c r="B4" s="99"/>
      <c r="C4" s="99"/>
      <c r="D4" s="99"/>
      <c r="E4" s="99"/>
      <c r="F4" s="100"/>
      <c r="G4" s="345"/>
      <c r="H4" s="98"/>
    </row>
    <row r="5" spans="1:8" s="97" customFormat="1" ht="61.5" hidden="1" customHeight="1" thickBot="1" x14ac:dyDescent="0.4">
      <c r="A5" s="258" t="s">
        <v>398</v>
      </c>
      <c r="B5" s="423" t="s">
        <v>323</v>
      </c>
      <c r="C5" s="423"/>
      <c r="D5" s="423"/>
      <c r="E5" s="423"/>
      <c r="F5" s="423"/>
      <c r="G5" s="345"/>
      <c r="H5" s="98"/>
    </row>
    <row r="6" spans="1:8" s="97" customFormat="1" ht="45" hidden="1" customHeight="1" x14ac:dyDescent="0.35">
      <c r="A6" s="427" t="s">
        <v>57</v>
      </c>
      <c r="B6" s="428"/>
      <c r="C6" s="428"/>
      <c r="D6" s="428"/>
      <c r="E6" s="429"/>
      <c r="F6" s="430"/>
      <c r="G6" s="345"/>
      <c r="H6" s="98"/>
    </row>
    <row r="7" spans="1:8" s="97" customFormat="1" ht="45" hidden="1" customHeight="1" x14ac:dyDescent="0.35">
      <c r="A7" s="101" t="s">
        <v>19</v>
      </c>
      <c r="B7" s="431" t="s">
        <v>54</v>
      </c>
      <c r="C7" s="432"/>
      <c r="D7" s="102" t="s">
        <v>55</v>
      </c>
      <c r="E7" s="227" t="s">
        <v>230</v>
      </c>
      <c r="F7" s="103" t="s">
        <v>226</v>
      </c>
      <c r="G7" s="345"/>
      <c r="H7" s="98"/>
    </row>
    <row r="8" spans="1:8" s="97" customFormat="1" ht="30.75" hidden="1" customHeight="1" x14ac:dyDescent="0.35">
      <c r="A8" s="433" t="s">
        <v>237</v>
      </c>
      <c r="B8" s="104" t="s">
        <v>158</v>
      </c>
      <c r="C8" s="435" t="s">
        <v>77</v>
      </c>
      <c r="D8" s="437" t="s">
        <v>72</v>
      </c>
      <c r="E8" s="398"/>
      <c r="F8" s="410"/>
      <c r="G8" s="345"/>
      <c r="H8" s="98"/>
    </row>
    <row r="9" spans="1:8" s="97" customFormat="1" ht="30.75" hidden="1" customHeight="1" x14ac:dyDescent="0.35">
      <c r="A9" s="434"/>
      <c r="B9" s="105" t="s">
        <v>159</v>
      </c>
      <c r="C9" s="436"/>
      <c r="D9" s="437"/>
      <c r="E9" s="398"/>
      <c r="F9" s="410"/>
      <c r="G9" s="345"/>
      <c r="H9" s="98"/>
    </row>
    <row r="10" spans="1:8" s="97" customFormat="1" ht="24" hidden="1" customHeight="1" x14ac:dyDescent="0.35">
      <c r="A10" s="106"/>
      <c r="B10" s="107"/>
      <c r="C10" s="107"/>
      <c r="D10" s="107"/>
      <c r="E10" s="107"/>
      <c r="F10" s="108"/>
      <c r="G10" s="345"/>
      <c r="H10" s="98"/>
    </row>
    <row r="11" spans="1:8" s="97" customFormat="1" ht="45" customHeight="1" x14ac:dyDescent="0.35">
      <c r="A11" s="424" t="s">
        <v>56</v>
      </c>
      <c r="B11" s="424"/>
      <c r="C11" s="424"/>
      <c r="D11" s="424"/>
      <c r="E11" s="424"/>
      <c r="F11" s="424"/>
      <c r="G11" s="345"/>
      <c r="H11" s="98"/>
    </row>
    <row r="12" spans="1:8" s="97" customFormat="1" ht="45" customHeight="1" x14ac:dyDescent="0.35">
      <c r="A12" s="228" t="s">
        <v>20</v>
      </c>
      <c r="B12" s="403" t="s">
        <v>54</v>
      </c>
      <c r="C12" s="403"/>
      <c r="D12" s="219" t="s">
        <v>55</v>
      </c>
      <c r="E12" s="219" t="s">
        <v>565</v>
      </c>
      <c r="F12" s="219" t="s">
        <v>566</v>
      </c>
      <c r="G12" s="345"/>
      <c r="H12" s="98"/>
    </row>
    <row r="13" spans="1:8" s="97" customFormat="1" ht="34.5" customHeight="1" x14ac:dyDescent="0.35">
      <c r="A13" s="419" t="s">
        <v>238</v>
      </c>
      <c r="B13" s="225" t="s">
        <v>160</v>
      </c>
      <c r="C13" s="418" t="s">
        <v>77</v>
      </c>
      <c r="D13" s="418" t="s">
        <v>161</v>
      </c>
      <c r="E13" s="398">
        <v>0.9</v>
      </c>
      <c r="F13" s="410">
        <v>0.9</v>
      </c>
      <c r="G13" s="344" t="e">
        <f>E13=#REF!</f>
        <v>#REF!</v>
      </c>
      <c r="H13" s="314"/>
    </row>
    <row r="14" spans="1:8" s="97" customFormat="1" ht="34.5" customHeight="1" x14ac:dyDescent="0.35">
      <c r="A14" s="419"/>
      <c r="B14" s="226" t="s">
        <v>162</v>
      </c>
      <c r="C14" s="418"/>
      <c r="D14" s="418"/>
      <c r="E14" s="398"/>
      <c r="F14" s="410"/>
      <c r="G14" s="344"/>
      <c r="H14" s="314"/>
    </row>
    <row r="15" spans="1:8" s="97" customFormat="1" ht="34.5" hidden="1" customHeight="1" x14ac:dyDescent="0.35">
      <c r="A15" s="419" t="s">
        <v>239</v>
      </c>
      <c r="B15" s="225" t="s">
        <v>163</v>
      </c>
      <c r="C15" s="418" t="s">
        <v>77</v>
      </c>
      <c r="D15" s="418" t="s">
        <v>161</v>
      </c>
      <c r="E15" s="398"/>
      <c r="F15" s="410"/>
      <c r="G15" s="344" t="e">
        <f>E15=#REF!</f>
        <v>#REF!</v>
      </c>
      <c r="H15" s="98"/>
    </row>
    <row r="16" spans="1:8" s="97" customFormat="1" ht="34.5" hidden="1" customHeight="1" x14ac:dyDescent="0.35">
      <c r="A16" s="419"/>
      <c r="B16" s="226" t="s">
        <v>164</v>
      </c>
      <c r="C16" s="418"/>
      <c r="D16" s="418"/>
      <c r="E16" s="398"/>
      <c r="F16" s="410"/>
      <c r="G16" s="344" t="e">
        <f>E16=#REF!</f>
        <v>#REF!</v>
      </c>
      <c r="H16" s="98"/>
    </row>
    <row r="17" spans="1:8" s="97" customFormat="1" ht="34.5" customHeight="1" x14ac:dyDescent="0.35">
      <c r="A17" s="419" t="s">
        <v>240</v>
      </c>
      <c r="B17" s="438" t="s">
        <v>165</v>
      </c>
      <c r="C17" s="438"/>
      <c r="D17" s="418" t="s">
        <v>161</v>
      </c>
      <c r="E17" s="421">
        <v>0.30565711964249442</v>
      </c>
      <c r="F17" s="411">
        <f>(5994/1648)/12</f>
        <v>0.30309466019417475</v>
      </c>
      <c r="G17" s="344" t="e">
        <f>E17=#REF!</f>
        <v>#REF!</v>
      </c>
      <c r="H17" s="98"/>
    </row>
    <row r="18" spans="1:8" s="97" customFormat="1" ht="34.5" customHeight="1" x14ac:dyDescent="0.35">
      <c r="A18" s="419"/>
      <c r="B18" s="420" t="s">
        <v>166</v>
      </c>
      <c r="C18" s="420"/>
      <c r="D18" s="418"/>
      <c r="E18" s="421"/>
      <c r="F18" s="411"/>
      <c r="G18" s="344"/>
      <c r="H18" s="98"/>
    </row>
    <row r="19" spans="1:8" s="97" customFormat="1" ht="34.5" customHeight="1" x14ac:dyDescent="0.35">
      <c r="A19" s="419" t="s">
        <v>241</v>
      </c>
      <c r="B19" s="225" t="s">
        <v>167</v>
      </c>
      <c r="C19" s="418" t="s">
        <v>77</v>
      </c>
      <c r="D19" s="418" t="s">
        <v>161</v>
      </c>
      <c r="E19" s="398">
        <v>1</v>
      </c>
      <c r="F19" s="410">
        <v>1</v>
      </c>
      <c r="G19" s="344" t="e">
        <f>E19=#REF!</f>
        <v>#REF!</v>
      </c>
      <c r="H19" s="314"/>
    </row>
    <row r="20" spans="1:8" s="97" customFormat="1" ht="34.5" customHeight="1" x14ac:dyDescent="0.35">
      <c r="A20" s="419"/>
      <c r="B20" s="226" t="s">
        <v>168</v>
      </c>
      <c r="C20" s="418"/>
      <c r="D20" s="418"/>
      <c r="E20" s="398"/>
      <c r="F20" s="410"/>
      <c r="G20" s="344"/>
      <c r="H20" s="314"/>
    </row>
    <row r="21" spans="1:8" s="97" customFormat="1" ht="34.5" hidden="1" customHeight="1" x14ac:dyDescent="0.35">
      <c r="A21" s="419" t="s">
        <v>242</v>
      </c>
      <c r="B21" s="225" t="s">
        <v>169</v>
      </c>
      <c r="C21" s="418" t="s">
        <v>77</v>
      </c>
      <c r="D21" s="418" t="s">
        <v>79</v>
      </c>
      <c r="E21" s="398"/>
      <c r="F21" s="410"/>
      <c r="G21" s="344" t="e">
        <f>E21=#REF!</f>
        <v>#REF!</v>
      </c>
      <c r="H21" s="98"/>
    </row>
    <row r="22" spans="1:8" s="97" customFormat="1" ht="34.5" hidden="1" customHeight="1" x14ac:dyDescent="0.35">
      <c r="A22" s="419"/>
      <c r="B22" s="226" t="s">
        <v>170</v>
      </c>
      <c r="C22" s="418"/>
      <c r="D22" s="418"/>
      <c r="E22" s="398"/>
      <c r="F22" s="410"/>
      <c r="G22" s="344" t="e">
        <f>E22=#REF!</f>
        <v>#REF!</v>
      </c>
      <c r="H22" s="98"/>
    </row>
    <row r="23" spans="1:8" s="97" customFormat="1" ht="34.5" hidden="1" customHeight="1" x14ac:dyDescent="0.35">
      <c r="A23" s="419" t="s">
        <v>243</v>
      </c>
      <c r="B23" s="225" t="s">
        <v>171</v>
      </c>
      <c r="C23" s="418" t="s">
        <v>77</v>
      </c>
      <c r="D23" s="418" t="s">
        <v>79</v>
      </c>
      <c r="E23" s="398"/>
      <c r="F23" s="410"/>
      <c r="G23" s="344" t="e">
        <f>E23=#REF!</f>
        <v>#REF!</v>
      </c>
      <c r="H23" s="98"/>
    </row>
    <row r="24" spans="1:8" s="97" customFormat="1" ht="34.5" hidden="1" customHeight="1" x14ac:dyDescent="0.35">
      <c r="A24" s="419"/>
      <c r="B24" s="226" t="s">
        <v>172</v>
      </c>
      <c r="C24" s="418"/>
      <c r="D24" s="418"/>
      <c r="E24" s="398"/>
      <c r="F24" s="410"/>
      <c r="G24" s="344" t="e">
        <f>E24=#REF!</f>
        <v>#REF!</v>
      </c>
      <c r="H24" s="98"/>
    </row>
    <row r="25" spans="1:8" s="97" customFormat="1" ht="34.5" hidden="1" customHeight="1" x14ac:dyDescent="0.35">
      <c r="A25" s="419" t="s">
        <v>244</v>
      </c>
      <c r="B25" s="225" t="s">
        <v>173</v>
      </c>
      <c r="C25" s="418" t="s">
        <v>77</v>
      </c>
      <c r="D25" s="418" t="s">
        <v>78</v>
      </c>
      <c r="E25" s="398"/>
      <c r="F25" s="410"/>
      <c r="G25" s="344" t="e">
        <f>E25=#REF!</f>
        <v>#REF!</v>
      </c>
      <c r="H25" s="98"/>
    </row>
    <row r="26" spans="1:8" s="97" customFormat="1" ht="34.5" hidden="1" customHeight="1" x14ac:dyDescent="0.35">
      <c r="A26" s="419"/>
      <c r="B26" s="226" t="s">
        <v>174</v>
      </c>
      <c r="C26" s="418"/>
      <c r="D26" s="418"/>
      <c r="E26" s="398"/>
      <c r="F26" s="410"/>
      <c r="G26" s="344" t="e">
        <f>E26=#REF!</f>
        <v>#REF!</v>
      </c>
      <c r="H26" s="98"/>
    </row>
    <row r="27" spans="1:8" s="97" customFormat="1" ht="34.5" hidden="1" customHeight="1" x14ac:dyDescent="0.35">
      <c r="A27" s="419" t="s">
        <v>245</v>
      </c>
      <c r="B27" s="225" t="s">
        <v>175</v>
      </c>
      <c r="C27" s="418" t="s">
        <v>77</v>
      </c>
      <c r="D27" s="418" t="s">
        <v>78</v>
      </c>
      <c r="E27" s="398"/>
      <c r="F27" s="410"/>
      <c r="G27" s="344" t="e">
        <f>E27=#REF!</f>
        <v>#REF!</v>
      </c>
      <c r="H27" s="98"/>
    </row>
    <row r="28" spans="1:8" s="97" customFormat="1" ht="34.5" hidden="1" customHeight="1" x14ac:dyDescent="0.35">
      <c r="A28" s="419"/>
      <c r="B28" s="226" t="s">
        <v>163</v>
      </c>
      <c r="C28" s="418"/>
      <c r="D28" s="418"/>
      <c r="E28" s="398"/>
      <c r="F28" s="410"/>
      <c r="G28" s="344" t="e">
        <f>E28=#REF!</f>
        <v>#REF!</v>
      </c>
      <c r="H28" s="98"/>
    </row>
    <row r="29" spans="1:8" s="97" customFormat="1" ht="34.5" hidden="1" customHeight="1" x14ac:dyDescent="0.35">
      <c r="A29" s="419" t="s">
        <v>246</v>
      </c>
      <c r="B29" s="225" t="s">
        <v>176</v>
      </c>
      <c r="C29" s="418" t="s">
        <v>77</v>
      </c>
      <c r="D29" s="418" t="s">
        <v>78</v>
      </c>
      <c r="E29" s="398"/>
      <c r="F29" s="410"/>
      <c r="G29" s="344" t="e">
        <f>E29=#REF!</f>
        <v>#REF!</v>
      </c>
      <c r="H29" s="98"/>
    </row>
    <row r="30" spans="1:8" s="97" customFormat="1" ht="34.5" hidden="1" customHeight="1" x14ac:dyDescent="0.35">
      <c r="A30" s="419"/>
      <c r="B30" s="226" t="s">
        <v>164</v>
      </c>
      <c r="C30" s="418"/>
      <c r="D30" s="418"/>
      <c r="E30" s="398"/>
      <c r="F30" s="410"/>
      <c r="G30" s="344" t="e">
        <f>E30=#REF!</f>
        <v>#REF!</v>
      </c>
      <c r="H30" s="98"/>
    </row>
    <row r="31" spans="1:8" s="97" customFormat="1" ht="34.5" hidden="1" customHeight="1" x14ac:dyDescent="0.35">
      <c r="A31" s="419" t="s">
        <v>247</v>
      </c>
      <c r="B31" s="225" t="s">
        <v>177</v>
      </c>
      <c r="C31" s="418" t="s">
        <v>77</v>
      </c>
      <c r="D31" s="418" t="s">
        <v>78</v>
      </c>
      <c r="E31" s="398"/>
      <c r="F31" s="410"/>
      <c r="G31" s="344" t="e">
        <f>E31=#REF!</f>
        <v>#REF!</v>
      </c>
      <c r="H31" s="98"/>
    </row>
    <row r="32" spans="1:8" s="97" customFormat="1" ht="34.5" hidden="1" customHeight="1" x14ac:dyDescent="0.35">
      <c r="A32" s="419"/>
      <c r="B32" s="226" t="s">
        <v>178</v>
      </c>
      <c r="C32" s="418"/>
      <c r="D32" s="418"/>
      <c r="E32" s="398"/>
      <c r="F32" s="410"/>
      <c r="G32" s="344" t="e">
        <f>E32=#REF!</f>
        <v>#REF!</v>
      </c>
      <c r="H32" s="98"/>
    </row>
    <row r="33" spans="1:8" s="97" customFormat="1" ht="45" hidden="1" customHeight="1" x14ac:dyDescent="0.35">
      <c r="A33" s="228" t="s">
        <v>21</v>
      </c>
      <c r="B33" s="403" t="s">
        <v>54</v>
      </c>
      <c r="C33" s="403"/>
      <c r="D33" s="219" t="s">
        <v>55</v>
      </c>
      <c r="E33" s="219" t="s">
        <v>230</v>
      </c>
      <c r="F33" s="219" t="s">
        <v>226</v>
      </c>
      <c r="G33" s="344" t="e">
        <f>E33=#REF!</f>
        <v>#REF!</v>
      </c>
      <c r="H33" s="98"/>
    </row>
    <row r="34" spans="1:8" s="97" customFormat="1" ht="34.5" hidden="1" customHeight="1" x14ac:dyDescent="0.35">
      <c r="A34" s="419" t="s">
        <v>248</v>
      </c>
      <c r="B34" s="225" t="s">
        <v>233</v>
      </c>
      <c r="C34" s="418" t="s">
        <v>77</v>
      </c>
      <c r="D34" s="418" t="s">
        <v>73</v>
      </c>
      <c r="E34" s="398"/>
      <c r="F34" s="410"/>
      <c r="G34" s="344" t="e">
        <f>E34=#REF!</f>
        <v>#REF!</v>
      </c>
      <c r="H34" s="98"/>
    </row>
    <row r="35" spans="1:8" s="97" customFormat="1" ht="34.5" hidden="1" customHeight="1" x14ac:dyDescent="0.35">
      <c r="A35" s="419"/>
      <c r="B35" s="226" t="s">
        <v>234</v>
      </c>
      <c r="C35" s="418"/>
      <c r="D35" s="418"/>
      <c r="E35" s="398"/>
      <c r="F35" s="410"/>
      <c r="G35" s="344" t="e">
        <f>E35=#REF!</f>
        <v>#REF!</v>
      </c>
      <c r="H35" s="98"/>
    </row>
    <row r="36" spans="1:8" s="97" customFormat="1" ht="34.5" hidden="1" customHeight="1" x14ac:dyDescent="0.35">
      <c r="A36" s="419" t="s">
        <v>249</v>
      </c>
      <c r="B36" s="225" t="s">
        <v>80</v>
      </c>
      <c r="C36" s="418" t="s">
        <v>77</v>
      </c>
      <c r="D36" s="418" t="s">
        <v>73</v>
      </c>
      <c r="E36" s="398"/>
      <c r="F36" s="410"/>
      <c r="G36" s="344" t="e">
        <f>E36=#REF!</f>
        <v>#REF!</v>
      </c>
      <c r="H36" s="98"/>
    </row>
    <row r="37" spans="1:8" s="97" customFormat="1" ht="34.5" hidden="1" customHeight="1" x14ac:dyDescent="0.35">
      <c r="A37" s="419"/>
      <c r="B37" s="226" t="s">
        <v>81</v>
      </c>
      <c r="C37" s="418"/>
      <c r="D37" s="418"/>
      <c r="E37" s="398"/>
      <c r="F37" s="410"/>
      <c r="G37" s="344" t="e">
        <f>E37=#REF!</f>
        <v>#REF!</v>
      </c>
      <c r="H37" s="98"/>
    </row>
    <row r="38" spans="1:8" s="97" customFormat="1" ht="34.5" hidden="1" customHeight="1" x14ac:dyDescent="0.35">
      <c r="A38" s="419" t="s">
        <v>250</v>
      </c>
      <c r="B38" s="225" t="s">
        <v>179</v>
      </c>
      <c r="C38" s="418" t="s">
        <v>77</v>
      </c>
      <c r="D38" s="418" t="s">
        <v>73</v>
      </c>
      <c r="E38" s="398"/>
      <c r="F38" s="410"/>
      <c r="G38" s="344" t="e">
        <f>E38=#REF!</f>
        <v>#REF!</v>
      </c>
      <c r="H38" s="98"/>
    </row>
    <row r="39" spans="1:8" s="97" customFormat="1" ht="34.5" hidden="1" customHeight="1" x14ac:dyDescent="0.35">
      <c r="A39" s="419"/>
      <c r="B39" s="226" t="s">
        <v>180</v>
      </c>
      <c r="C39" s="418"/>
      <c r="D39" s="418"/>
      <c r="E39" s="398"/>
      <c r="F39" s="410"/>
      <c r="G39" s="344" t="e">
        <f>E39=#REF!</f>
        <v>#REF!</v>
      </c>
      <c r="H39" s="98"/>
    </row>
    <row r="40" spans="1:8" s="97" customFormat="1" ht="45" customHeight="1" x14ac:dyDescent="0.35">
      <c r="A40" s="228" t="s">
        <v>22</v>
      </c>
      <c r="B40" s="403" t="s">
        <v>54</v>
      </c>
      <c r="C40" s="403"/>
      <c r="D40" s="219" t="s">
        <v>55</v>
      </c>
      <c r="E40" s="271" t="s">
        <v>565</v>
      </c>
      <c r="F40" s="271" t="s">
        <v>566</v>
      </c>
      <c r="G40" s="344"/>
      <c r="H40" s="98"/>
    </row>
    <row r="41" spans="1:8" s="97" customFormat="1" ht="34.5" customHeight="1" x14ac:dyDescent="0.35">
      <c r="A41" s="404" t="s">
        <v>251</v>
      </c>
      <c r="B41" s="223" t="s">
        <v>181</v>
      </c>
      <c r="C41" s="418" t="s">
        <v>77</v>
      </c>
      <c r="D41" s="405" t="s">
        <v>182</v>
      </c>
      <c r="E41" s="398">
        <v>1</v>
      </c>
      <c r="F41" s="410">
        <v>1</v>
      </c>
      <c r="G41" s="344" t="e">
        <f>E41=#REF!</f>
        <v>#REF!</v>
      </c>
      <c r="H41" s="314"/>
    </row>
    <row r="42" spans="1:8" s="97" customFormat="1" ht="34.5" customHeight="1" x14ac:dyDescent="0.35">
      <c r="A42" s="404"/>
      <c r="B42" s="224" t="s">
        <v>183</v>
      </c>
      <c r="C42" s="418"/>
      <c r="D42" s="405"/>
      <c r="E42" s="398"/>
      <c r="F42" s="410"/>
      <c r="G42" s="344"/>
      <c r="H42" s="314"/>
    </row>
    <row r="43" spans="1:8" s="97" customFormat="1" ht="34.5" hidden="1" customHeight="1" x14ac:dyDescent="0.35">
      <c r="A43" s="404" t="s">
        <v>252</v>
      </c>
      <c r="B43" s="223" t="s">
        <v>184</v>
      </c>
      <c r="C43" s="418" t="s">
        <v>77</v>
      </c>
      <c r="D43" s="405" t="s">
        <v>79</v>
      </c>
      <c r="E43" s="398"/>
      <c r="F43" s="410"/>
      <c r="G43" s="344" t="e">
        <f>E43=#REF!</f>
        <v>#REF!</v>
      </c>
      <c r="H43" s="98"/>
    </row>
    <row r="44" spans="1:8" s="97" customFormat="1" ht="34.5" hidden="1" customHeight="1" x14ac:dyDescent="0.35">
      <c r="A44" s="404"/>
      <c r="B44" s="224" t="s">
        <v>185</v>
      </c>
      <c r="C44" s="418"/>
      <c r="D44" s="405"/>
      <c r="E44" s="398"/>
      <c r="F44" s="410"/>
      <c r="G44" s="344" t="e">
        <f>E44=#REF!</f>
        <v>#REF!</v>
      </c>
      <c r="H44" s="98"/>
    </row>
    <row r="45" spans="1:8" s="97" customFormat="1" ht="34.5" hidden="1" customHeight="1" x14ac:dyDescent="0.35">
      <c r="A45" s="404" t="s">
        <v>253</v>
      </c>
      <c r="B45" s="407" t="s">
        <v>186</v>
      </c>
      <c r="C45" s="407"/>
      <c r="D45" s="405" t="s">
        <v>79</v>
      </c>
      <c r="E45" s="399"/>
      <c r="F45" s="412"/>
      <c r="G45" s="344" t="e">
        <f>E45=#REF!</f>
        <v>#REF!</v>
      </c>
      <c r="H45" s="98"/>
    </row>
    <row r="46" spans="1:8" s="97" customFormat="1" ht="34.5" hidden="1" customHeight="1" x14ac:dyDescent="0.35">
      <c r="A46" s="404"/>
      <c r="B46" s="409" t="s">
        <v>187</v>
      </c>
      <c r="C46" s="409"/>
      <c r="D46" s="405"/>
      <c r="E46" s="399"/>
      <c r="F46" s="412"/>
      <c r="G46" s="344" t="e">
        <f>E46=#REF!</f>
        <v>#REF!</v>
      </c>
      <c r="H46" s="98"/>
    </row>
    <row r="47" spans="1:8" s="97" customFormat="1" ht="34.5" hidden="1" customHeight="1" x14ac:dyDescent="0.35">
      <c r="A47" s="404" t="s">
        <v>254</v>
      </c>
      <c r="B47" s="223" t="s">
        <v>188</v>
      </c>
      <c r="C47" s="406" t="s">
        <v>77</v>
      </c>
      <c r="D47" s="405" t="s">
        <v>79</v>
      </c>
      <c r="E47" s="398"/>
      <c r="F47" s="410"/>
      <c r="G47" s="344" t="e">
        <f>E47=#REF!</f>
        <v>#REF!</v>
      </c>
      <c r="H47" s="98"/>
    </row>
    <row r="48" spans="1:8" ht="34.5" hidden="1" customHeight="1" x14ac:dyDescent="0.35">
      <c r="A48" s="404"/>
      <c r="B48" s="224" t="s">
        <v>189</v>
      </c>
      <c r="C48" s="406"/>
      <c r="D48" s="405"/>
      <c r="E48" s="398"/>
      <c r="F48" s="410"/>
      <c r="G48" s="344" t="e">
        <f>E48=#REF!</f>
        <v>#REF!</v>
      </c>
    </row>
    <row r="49" spans="1:8" s="97" customFormat="1" ht="45" hidden="1" customHeight="1" x14ac:dyDescent="0.35">
      <c r="A49" s="228" t="s">
        <v>23</v>
      </c>
      <c r="B49" s="403" t="s">
        <v>54</v>
      </c>
      <c r="C49" s="403"/>
      <c r="D49" s="219" t="s">
        <v>55</v>
      </c>
      <c r="E49" s="219" t="s">
        <v>230</v>
      </c>
      <c r="F49" s="219" t="s">
        <v>226</v>
      </c>
      <c r="G49" s="344" t="e">
        <f>E49=#REF!</f>
        <v>#REF!</v>
      </c>
      <c r="H49" s="98"/>
    </row>
    <row r="50" spans="1:8" ht="53.25" hidden="1" customHeight="1" x14ac:dyDescent="0.35">
      <c r="A50" s="229" t="s">
        <v>255</v>
      </c>
      <c r="B50" s="417" t="s">
        <v>190</v>
      </c>
      <c r="C50" s="417"/>
      <c r="D50" s="221" t="s">
        <v>72</v>
      </c>
      <c r="E50" s="109"/>
      <c r="F50" s="110"/>
      <c r="G50" s="344" t="e">
        <f>E50=#REF!</f>
        <v>#REF!</v>
      </c>
    </row>
    <row r="51" spans="1:8" s="97" customFormat="1" ht="45" customHeight="1" x14ac:dyDescent="0.35">
      <c r="A51" s="228" t="s">
        <v>24</v>
      </c>
      <c r="B51" s="403" t="s">
        <v>54</v>
      </c>
      <c r="C51" s="403"/>
      <c r="D51" s="219" t="s">
        <v>55</v>
      </c>
      <c r="E51" s="271" t="s">
        <v>565</v>
      </c>
      <c r="F51" s="271" t="s">
        <v>566</v>
      </c>
      <c r="G51" s="344"/>
      <c r="H51" s="98"/>
    </row>
    <row r="52" spans="1:8" ht="34.5" customHeight="1" x14ac:dyDescent="0.35">
      <c r="A52" s="404" t="s">
        <v>256</v>
      </c>
      <c r="B52" s="223" t="s">
        <v>191</v>
      </c>
      <c r="C52" s="406" t="s">
        <v>77</v>
      </c>
      <c r="D52" s="406" t="s">
        <v>72</v>
      </c>
      <c r="E52" s="397">
        <v>0.4</v>
      </c>
      <c r="F52" s="397">
        <v>0.4</v>
      </c>
      <c r="G52" s="344" t="e">
        <f>E52=#REF!</f>
        <v>#REF!</v>
      </c>
      <c r="H52" s="314"/>
    </row>
    <row r="53" spans="1:8" ht="34.5" customHeight="1" x14ac:dyDescent="0.35">
      <c r="A53" s="404"/>
      <c r="B53" s="224" t="s">
        <v>159</v>
      </c>
      <c r="C53" s="406"/>
      <c r="D53" s="406"/>
      <c r="E53" s="397"/>
      <c r="F53" s="397"/>
      <c r="G53" s="344"/>
      <c r="H53" s="314"/>
    </row>
    <row r="54" spans="1:8" ht="34.5" hidden="1" customHeight="1" x14ac:dyDescent="0.35">
      <c r="A54" s="404" t="s">
        <v>257</v>
      </c>
      <c r="B54" s="223" t="s">
        <v>190</v>
      </c>
      <c r="C54" s="406" t="s">
        <v>77</v>
      </c>
      <c r="D54" s="406" t="s">
        <v>72</v>
      </c>
      <c r="E54" s="398"/>
      <c r="F54" s="410"/>
      <c r="G54" s="344" t="e">
        <f>E54=#REF!</f>
        <v>#REF!</v>
      </c>
    </row>
    <row r="55" spans="1:8" ht="34.5" hidden="1" customHeight="1" x14ac:dyDescent="0.35">
      <c r="A55" s="404"/>
      <c r="B55" s="224" t="s">
        <v>159</v>
      </c>
      <c r="C55" s="406"/>
      <c r="D55" s="406"/>
      <c r="E55" s="398"/>
      <c r="F55" s="410"/>
      <c r="G55" s="344" t="e">
        <f>E55=#REF!</f>
        <v>#REF!</v>
      </c>
    </row>
    <row r="56" spans="1:8" s="97" customFormat="1" ht="45" customHeight="1" x14ac:dyDescent="0.35">
      <c r="A56" s="228" t="s">
        <v>25</v>
      </c>
      <c r="B56" s="403" t="s">
        <v>54</v>
      </c>
      <c r="C56" s="403"/>
      <c r="D56" s="219" t="s">
        <v>55</v>
      </c>
      <c r="E56" s="271" t="s">
        <v>565</v>
      </c>
      <c r="F56" s="271" t="s">
        <v>566</v>
      </c>
      <c r="G56" s="344"/>
      <c r="H56" s="98"/>
    </row>
    <row r="57" spans="1:8" s="97" customFormat="1" ht="34.5" customHeight="1" x14ac:dyDescent="0.35">
      <c r="A57" s="220" t="s">
        <v>258</v>
      </c>
      <c r="B57" s="406" t="s">
        <v>192</v>
      </c>
      <c r="C57" s="406"/>
      <c r="D57" s="222" t="s">
        <v>161</v>
      </c>
      <c r="E57" s="117">
        <v>50000</v>
      </c>
      <c r="F57" s="117">
        <v>250000</v>
      </c>
      <c r="G57" s="344" t="e">
        <f>E57=#REF!</f>
        <v>#REF!</v>
      </c>
      <c r="H57" s="314"/>
    </row>
    <row r="58" spans="1:8" s="97" customFormat="1" ht="34.5" hidden="1" customHeight="1" x14ac:dyDescent="0.35">
      <c r="A58" s="404" t="s">
        <v>259</v>
      </c>
      <c r="B58" s="223" t="s">
        <v>193</v>
      </c>
      <c r="C58" s="406" t="s">
        <v>77</v>
      </c>
      <c r="D58" s="406" t="s">
        <v>73</v>
      </c>
      <c r="E58" s="415">
        <v>250000</v>
      </c>
      <c r="F58" s="410"/>
      <c r="G58" s="344" t="e">
        <f>E58=#REF!</f>
        <v>#REF!</v>
      </c>
      <c r="H58" s="98"/>
    </row>
    <row r="59" spans="1:8" s="97" customFormat="1" ht="34.5" hidden="1" customHeight="1" x14ac:dyDescent="0.35">
      <c r="A59" s="404"/>
      <c r="B59" s="224" t="s">
        <v>82</v>
      </c>
      <c r="C59" s="406"/>
      <c r="D59" s="406"/>
      <c r="E59" s="416"/>
      <c r="F59" s="410"/>
      <c r="G59" s="344" t="e">
        <f>E59=#REF!</f>
        <v>#REF!</v>
      </c>
      <c r="H59" s="98"/>
    </row>
    <row r="60" spans="1:8" s="97" customFormat="1" ht="34.5" hidden="1" customHeight="1" x14ac:dyDescent="0.35">
      <c r="A60" s="404" t="s">
        <v>260</v>
      </c>
      <c r="B60" s="223" t="s">
        <v>194</v>
      </c>
      <c r="C60" s="406" t="s">
        <v>77</v>
      </c>
      <c r="D60" s="406" t="s">
        <v>73</v>
      </c>
      <c r="E60" s="398"/>
      <c r="F60" s="410"/>
      <c r="G60" s="344" t="e">
        <f>E60=#REF!</f>
        <v>#REF!</v>
      </c>
      <c r="H60" s="98"/>
    </row>
    <row r="61" spans="1:8" s="97" customFormat="1" ht="34.5" hidden="1" customHeight="1" x14ac:dyDescent="0.35">
      <c r="A61" s="404"/>
      <c r="B61" s="224" t="s">
        <v>83</v>
      </c>
      <c r="C61" s="406"/>
      <c r="D61" s="406"/>
      <c r="E61" s="398"/>
      <c r="F61" s="410"/>
      <c r="G61" s="344" t="e">
        <f>E61=#REF!</f>
        <v>#REF!</v>
      </c>
      <c r="H61" s="98"/>
    </row>
    <row r="62" spans="1:8" s="97" customFormat="1" ht="34.5" hidden="1" customHeight="1" x14ac:dyDescent="0.35">
      <c r="A62" s="220" t="s">
        <v>195</v>
      </c>
      <c r="B62" s="406" t="s">
        <v>196</v>
      </c>
      <c r="C62" s="406"/>
      <c r="D62" s="222" t="s">
        <v>79</v>
      </c>
      <c r="E62" s="111"/>
      <c r="F62" s="112"/>
      <c r="G62" s="344" t="e">
        <f>E62=#REF!</f>
        <v>#REF!</v>
      </c>
      <c r="H62" s="98"/>
    </row>
    <row r="63" spans="1:8" s="97" customFormat="1" ht="45" hidden="1" customHeight="1" x14ac:dyDescent="0.35">
      <c r="A63" s="228" t="s">
        <v>26</v>
      </c>
      <c r="B63" s="403" t="s">
        <v>54</v>
      </c>
      <c r="C63" s="403"/>
      <c r="D63" s="219" t="s">
        <v>55</v>
      </c>
      <c r="E63" s="219" t="s">
        <v>230</v>
      </c>
      <c r="F63" s="219" t="s">
        <v>226</v>
      </c>
      <c r="G63" s="344" t="e">
        <f>E63=#REF!</f>
        <v>#REF!</v>
      </c>
      <c r="H63" s="98"/>
    </row>
    <row r="64" spans="1:8" s="97" customFormat="1" ht="34.5" hidden="1" customHeight="1" x14ac:dyDescent="0.35">
      <c r="A64" s="414" t="s">
        <v>261</v>
      </c>
      <c r="B64" s="113" t="s">
        <v>197</v>
      </c>
      <c r="C64" s="406" t="s">
        <v>77</v>
      </c>
      <c r="D64" s="406" t="s">
        <v>72</v>
      </c>
      <c r="E64" s="398"/>
      <c r="F64" s="410"/>
      <c r="G64" s="344" t="e">
        <f>E64=#REF!</f>
        <v>#REF!</v>
      </c>
      <c r="H64" s="98"/>
    </row>
    <row r="65" spans="1:8" s="97" customFormat="1" ht="34.5" hidden="1" customHeight="1" x14ac:dyDescent="0.35">
      <c r="A65" s="414"/>
      <c r="B65" s="114" t="s">
        <v>198</v>
      </c>
      <c r="C65" s="406"/>
      <c r="D65" s="406"/>
      <c r="E65" s="398"/>
      <c r="F65" s="410"/>
      <c r="G65" s="344" t="e">
        <f>E65=#REF!</f>
        <v>#REF!</v>
      </c>
      <c r="H65" s="98"/>
    </row>
    <row r="66" spans="1:8" s="97" customFormat="1" ht="34.5" hidden="1" customHeight="1" x14ac:dyDescent="0.35">
      <c r="A66" s="413" t="s">
        <v>262</v>
      </c>
      <c r="B66" s="115" t="s">
        <v>150</v>
      </c>
      <c r="C66" s="406" t="s">
        <v>77</v>
      </c>
      <c r="D66" s="406" t="s">
        <v>72</v>
      </c>
      <c r="E66" s="398"/>
      <c r="F66" s="410"/>
      <c r="G66" s="344" t="e">
        <f>E66=#REF!</f>
        <v>#REF!</v>
      </c>
      <c r="H66" s="98"/>
    </row>
    <row r="67" spans="1:8" s="97" customFormat="1" ht="34.5" hidden="1" customHeight="1" x14ac:dyDescent="0.35">
      <c r="A67" s="413"/>
      <c r="B67" s="116" t="s">
        <v>199</v>
      </c>
      <c r="C67" s="406"/>
      <c r="D67" s="406"/>
      <c r="E67" s="398"/>
      <c r="F67" s="410"/>
      <c r="G67" s="344" t="e">
        <f>E67=#REF!</f>
        <v>#REF!</v>
      </c>
      <c r="H67" s="98"/>
    </row>
    <row r="68" spans="1:8" s="97" customFormat="1" ht="34.5" hidden="1" customHeight="1" x14ac:dyDescent="0.35">
      <c r="A68" s="404" t="s">
        <v>263</v>
      </c>
      <c r="B68" s="407" t="s">
        <v>200</v>
      </c>
      <c r="C68" s="407"/>
      <c r="D68" s="406" t="s">
        <v>79</v>
      </c>
      <c r="E68" s="397"/>
      <c r="F68" s="411"/>
      <c r="G68" s="344" t="e">
        <f>E68=#REF!</f>
        <v>#REF!</v>
      </c>
      <c r="H68" s="98"/>
    </row>
    <row r="69" spans="1:8" s="97" customFormat="1" ht="34.5" hidden="1" customHeight="1" x14ac:dyDescent="0.35">
      <c r="A69" s="404"/>
      <c r="B69" s="409" t="s">
        <v>201</v>
      </c>
      <c r="C69" s="409"/>
      <c r="D69" s="406"/>
      <c r="E69" s="397"/>
      <c r="F69" s="411"/>
      <c r="G69" s="344" t="e">
        <f>E69=#REF!</f>
        <v>#REF!</v>
      </c>
      <c r="H69" s="98"/>
    </row>
    <row r="70" spans="1:8" s="97" customFormat="1" ht="45" customHeight="1" x14ac:dyDescent="0.35">
      <c r="A70" s="228" t="s">
        <v>27</v>
      </c>
      <c r="B70" s="403" t="s">
        <v>54</v>
      </c>
      <c r="C70" s="403"/>
      <c r="D70" s="219" t="s">
        <v>55</v>
      </c>
      <c r="E70" s="271" t="s">
        <v>565</v>
      </c>
      <c r="F70" s="271" t="s">
        <v>566</v>
      </c>
      <c r="G70" s="344"/>
      <c r="H70" s="98"/>
    </row>
    <row r="71" spans="1:8" s="97" customFormat="1" ht="34.5" customHeight="1" x14ac:dyDescent="0.35">
      <c r="A71" s="404" t="s">
        <v>264</v>
      </c>
      <c r="B71" s="407" t="s">
        <v>235</v>
      </c>
      <c r="C71" s="407"/>
      <c r="D71" s="406" t="s">
        <v>73</v>
      </c>
      <c r="E71" s="397">
        <v>1.8342333337396541</v>
      </c>
      <c r="F71" s="397">
        <v>1.82</v>
      </c>
      <c r="G71" s="344" t="e">
        <f>E71=#REF!</f>
        <v>#REF!</v>
      </c>
      <c r="H71" s="318">
        <f>'Diretrizes - Resumo'!AK24/('Diretrizes - Resumo'!AK27/1000)</f>
        <v>1.8222777559898944</v>
      </c>
    </row>
    <row r="72" spans="1:8" s="97" customFormat="1" ht="34.5" customHeight="1" x14ac:dyDescent="0.35">
      <c r="A72" s="404"/>
      <c r="B72" s="409" t="s">
        <v>203</v>
      </c>
      <c r="C72" s="409"/>
      <c r="D72" s="406"/>
      <c r="E72" s="397"/>
      <c r="F72" s="397"/>
      <c r="G72" s="344"/>
      <c r="H72" s="98"/>
    </row>
    <row r="73" spans="1:8" s="97" customFormat="1" ht="34.5" hidden="1" customHeight="1" x14ac:dyDescent="0.35">
      <c r="A73" s="404" t="s">
        <v>265</v>
      </c>
      <c r="B73" s="223" t="s">
        <v>145</v>
      </c>
      <c r="C73" s="406" t="s">
        <v>77</v>
      </c>
      <c r="D73" s="406" t="s">
        <v>73</v>
      </c>
      <c r="E73" s="398"/>
      <c r="F73" s="410"/>
      <c r="G73" s="344" t="e">
        <f>E73=#REF!</f>
        <v>#REF!</v>
      </c>
      <c r="H73" s="98"/>
    </row>
    <row r="74" spans="1:8" ht="34.5" hidden="1" customHeight="1" x14ac:dyDescent="0.35">
      <c r="A74" s="404"/>
      <c r="B74" s="224" t="s">
        <v>202</v>
      </c>
      <c r="C74" s="406"/>
      <c r="D74" s="406"/>
      <c r="E74" s="398"/>
      <c r="F74" s="410"/>
      <c r="G74" s="344" t="e">
        <f>E74=#REF!</f>
        <v>#REF!</v>
      </c>
    </row>
    <row r="75" spans="1:8" s="97" customFormat="1" ht="34.5" hidden="1" customHeight="1" x14ac:dyDescent="0.35">
      <c r="A75" s="404" t="s">
        <v>266</v>
      </c>
      <c r="B75" s="223" t="s">
        <v>204</v>
      </c>
      <c r="C75" s="406" t="s">
        <v>77</v>
      </c>
      <c r="D75" s="406" t="s">
        <v>73</v>
      </c>
      <c r="E75" s="398"/>
      <c r="F75" s="410"/>
      <c r="G75" s="344" t="e">
        <f>E75=#REF!</f>
        <v>#REF!</v>
      </c>
      <c r="H75" s="98"/>
    </row>
    <row r="76" spans="1:8" s="97" customFormat="1" ht="34.5" hidden="1" customHeight="1" x14ac:dyDescent="0.35">
      <c r="A76" s="404"/>
      <c r="B76" s="224" t="s">
        <v>202</v>
      </c>
      <c r="C76" s="406"/>
      <c r="D76" s="406"/>
      <c r="E76" s="398"/>
      <c r="F76" s="410"/>
      <c r="G76" s="344" t="e">
        <f>E76=#REF!</f>
        <v>#REF!</v>
      </c>
      <c r="H76" s="98"/>
    </row>
    <row r="77" spans="1:8" s="97" customFormat="1" ht="45" customHeight="1" x14ac:dyDescent="0.35">
      <c r="A77" s="228" t="s">
        <v>28</v>
      </c>
      <c r="B77" s="403" t="s">
        <v>54</v>
      </c>
      <c r="C77" s="403"/>
      <c r="D77" s="219" t="s">
        <v>55</v>
      </c>
      <c r="E77" s="271" t="s">
        <v>565</v>
      </c>
      <c r="F77" s="271" t="s">
        <v>566</v>
      </c>
      <c r="G77" s="344"/>
      <c r="H77" s="98"/>
    </row>
    <row r="78" spans="1:8" ht="34.5" customHeight="1" x14ac:dyDescent="0.35">
      <c r="A78" s="404" t="s">
        <v>267</v>
      </c>
      <c r="B78" s="407" t="s">
        <v>205</v>
      </c>
      <c r="C78" s="407"/>
      <c r="D78" s="406" t="s">
        <v>206</v>
      </c>
      <c r="E78" s="399">
        <v>1012.7115356489944</v>
      </c>
      <c r="F78" s="412">
        <f>'Anexo 1. Fontes e Aplicações'!F6/1648</f>
        <v>932.55067354368941</v>
      </c>
      <c r="G78" s="344" t="e">
        <f>E78=#REF!</f>
        <v>#REF!</v>
      </c>
      <c r="H78" s="316">
        <f>'Anexo 1. Fontes e Aplicações'!F6/'Diretrizes - Resumo'!AK19</f>
        <v>932.55067354368941</v>
      </c>
    </row>
    <row r="79" spans="1:8" ht="34.5" customHeight="1" x14ac:dyDescent="0.35">
      <c r="A79" s="404"/>
      <c r="B79" s="409" t="s">
        <v>85</v>
      </c>
      <c r="C79" s="409"/>
      <c r="D79" s="406"/>
      <c r="E79" s="399"/>
      <c r="F79" s="412"/>
      <c r="G79" s="344"/>
    </row>
    <row r="80" spans="1:8" ht="34.5" customHeight="1" x14ac:dyDescent="0.35">
      <c r="A80" s="404" t="s">
        <v>268</v>
      </c>
      <c r="B80" s="223" t="s">
        <v>207</v>
      </c>
      <c r="C80" s="406" t="s">
        <v>77</v>
      </c>
      <c r="D80" s="406" t="s">
        <v>208</v>
      </c>
      <c r="E80" s="398">
        <v>0.60086903970343153</v>
      </c>
      <c r="F80" s="410">
        <f>'Anexo 2. Limites Estratégicos'!M4/'Anexo 2. Limites Estratégicos'!M6</f>
        <v>0.65367748470369624</v>
      </c>
      <c r="G80" s="344" t="e">
        <f>E80=#REF!</f>
        <v>#REF!</v>
      </c>
      <c r="H80" s="317">
        <f>'Anexo 2. Limites Estratégicos'!M4/'Anexo 2. Limites Estratégicos'!M6</f>
        <v>0.65367748470369624</v>
      </c>
    </row>
    <row r="81" spans="1:8" ht="34.5" customHeight="1" x14ac:dyDescent="0.35">
      <c r="A81" s="404"/>
      <c r="B81" s="224" t="s">
        <v>205</v>
      </c>
      <c r="C81" s="406"/>
      <c r="D81" s="406"/>
      <c r="E81" s="398"/>
      <c r="F81" s="410"/>
      <c r="G81" s="344"/>
    </row>
    <row r="82" spans="1:8" ht="34.5" customHeight="1" x14ac:dyDescent="0.35">
      <c r="A82" s="404" t="s">
        <v>269</v>
      </c>
      <c r="B82" s="407" t="s">
        <v>148</v>
      </c>
      <c r="C82" s="407"/>
      <c r="D82" s="406" t="s">
        <v>79</v>
      </c>
      <c r="E82" s="397">
        <v>4</v>
      </c>
      <c r="F82" s="411">
        <v>4</v>
      </c>
      <c r="G82" s="344" t="e">
        <f>E82=#REF!</f>
        <v>#REF!</v>
      </c>
      <c r="H82" s="314"/>
    </row>
    <row r="83" spans="1:8" ht="34.5" customHeight="1" x14ac:dyDescent="0.35">
      <c r="A83" s="404"/>
      <c r="B83" s="409" t="s">
        <v>84</v>
      </c>
      <c r="C83" s="409"/>
      <c r="D83" s="406"/>
      <c r="E83" s="397"/>
      <c r="F83" s="411"/>
      <c r="G83" s="344"/>
      <c r="H83" s="314"/>
    </row>
    <row r="84" spans="1:8" ht="34.5" customHeight="1" x14ac:dyDescent="0.35">
      <c r="A84" s="404" t="s">
        <v>270</v>
      </c>
      <c r="B84" s="223" t="s">
        <v>149</v>
      </c>
      <c r="C84" s="406" t="s">
        <v>77</v>
      </c>
      <c r="D84" s="406" t="s">
        <v>78</v>
      </c>
      <c r="E84" s="398">
        <v>0.252</v>
      </c>
      <c r="F84" s="410">
        <v>0.24099999999999999</v>
      </c>
      <c r="G84" s="344" t="e">
        <f>E84=#REF!</f>
        <v>#REF!</v>
      </c>
      <c r="H84" s="315">
        <f>'Diretrizes - Resumo'!AK21</f>
        <v>24.097135740971353</v>
      </c>
    </row>
    <row r="85" spans="1:8" s="97" customFormat="1" ht="34.5" customHeight="1" x14ac:dyDescent="0.35">
      <c r="A85" s="404"/>
      <c r="B85" s="224" t="s">
        <v>236</v>
      </c>
      <c r="C85" s="406"/>
      <c r="D85" s="406"/>
      <c r="E85" s="398"/>
      <c r="F85" s="410"/>
      <c r="G85" s="344"/>
      <c r="H85" s="98"/>
    </row>
    <row r="86" spans="1:8" s="97" customFormat="1" ht="34.5" customHeight="1" x14ac:dyDescent="0.35">
      <c r="A86" s="404" t="s">
        <v>271</v>
      </c>
      <c r="B86" s="223" t="s">
        <v>86</v>
      </c>
      <c r="C86" s="406" t="s">
        <v>77</v>
      </c>
      <c r="D86" s="406" t="s">
        <v>78</v>
      </c>
      <c r="E86" s="398">
        <v>0.436</v>
      </c>
      <c r="F86" s="410">
        <v>0.42299999999999999</v>
      </c>
      <c r="G86" s="344" t="e">
        <f>E86=#REF!</f>
        <v>#REF!</v>
      </c>
      <c r="H86" s="315">
        <f>'Diretrizes - Resumo'!AK23</f>
        <v>42.342342342342342</v>
      </c>
    </row>
    <row r="87" spans="1:8" s="97" customFormat="1" ht="34.5" customHeight="1" x14ac:dyDescent="0.35">
      <c r="A87" s="404"/>
      <c r="B87" s="224" t="s">
        <v>209</v>
      </c>
      <c r="C87" s="406"/>
      <c r="D87" s="406"/>
      <c r="E87" s="398"/>
      <c r="F87" s="410"/>
      <c r="G87" s="344"/>
      <c r="H87" s="98"/>
    </row>
    <row r="88" spans="1:8" s="97" customFormat="1" ht="45" hidden="1" customHeight="1" x14ac:dyDescent="0.35">
      <c r="A88" s="228" t="s">
        <v>29</v>
      </c>
      <c r="B88" s="403" t="s">
        <v>54</v>
      </c>
      <c r="C88" s="403"/>
      <c r="D88" s="219" t="s">
        <v>55</v>
      </c>
      <c r="E88" s="219" t="s">
        <v>230</v>
      </c>
      <c r="F88" s="219" t="s">
        <v>226</v>
      </c>
      <c r="G88" s="344" t="e">
        <f>E88=#REF!</f>
        <v>#REF!</v>
      </c>
      <c r="H88" s="98"/>
    </row>
    <row r="89" spans="1:8" s="97" customFormat="1" ht="34.5" hidden="1" customHeight="1" x14ac:dyDescent="0.35">
      <c r="A89" s="404" t="s">
        <v>272</v>
      </c>
      <c r="B89" s="223" t="s">
        <v>210</v>
      </c>
      <c r="C89" s="406" t="s">
        <v>77</v>
      </c>
      <c r="D89" s="406" t="s">
        <v>208</v>
      </c>
      <c r="E89" s="398"/>
      <c r="F89" s="410"/>
      <c r="G89" s="344" t="e">
        <f>E89=#REF!</f>
        <v>#REF!</v>
      </c>
      <c r="H89" s="98"/>
    </row>
    <row r="90" spans="1:8" s="97" customFormat="1" ht="34.5" hidden="1" customHeight="1" x14ac:dyDescent="0.35">
      <c r="A90" s="404"/>
      <c r="B90" s="224" t="s">
        <v>211</v>
      </c>
      <c r="C90" s="406"/>
      <c r="D90" s="406"/>
      <c r="E90" s="398"/>
      <c r="F90" s="410"/>
      <c r="G90" s="344" t="e">
        <f>E90=#REF!</f>
        <v>#REF!</v>
      </c>
      <c r="H90" s="98"/>
    </row>
    <row r="91" spans="1:8" s="97" customFormat="1" ht="34.5" hidden="1" customHeight="1" x14ac:dyDescent="0.35">
      <c r="A91" s="404" t="s">
        <v>273</v>
      </c>
      <c r="B91" s="223" t="s">
        <v>212</v>
      </c>
      <c r="C91" s="406" t="s">
        <v>77</v>
      </c>
      <c r="D91" s="406" t="s">
        <v>208</v>
      </c>
      <c r="E91" s="398"/>
      <c r="F91" s="410"/>
      <c r="G91" s="344" t="e">
        <f>E91=#REF!</f>
        <v>#REF!</v>
      </c>
      <c r="H91" s="98"/>
    </row>
    <row r="92" spans="1:8" s="97" customFormat="1" ht="34.5" hidden="1" customHeight="1" x14ac:dyDescent="0.35">
      <c r="A92" s="404"/>
      <c r="B92" s="224" t="s">
        <v>213</v>
      </c>
      <c r="C92" s="406"/>
      <c r="D92" s="406"/>
      <c r="E92" s="398"/>
      <c r="F92" s="410"/>
      <c r="G92" s="344" t="e">
        <f>E92=#REF!</f>
        <v>#REF!</v>
      </c>
      <c r="H92" s="98"/>
    </row>
    <row r="93" spans="1:8" s="97" customFormat="1" ht="34.5" hidden="1" customHeight="1" x14ac:dyDescent="0.35">
      <c r="A93" s="404" t="s">
        <v>274</v>
      </c>
      <c r="B93" s="223" t="s">
        <v>214</v>
      </c>
      <c r="C93" s="406" t="s">
        <v>77</v>
      </c>
      <c r="D93" s="406" t="s">
        <v>208</v>
      </c>
      <c r="E93" s="398"/>
      <c r="F93" s="410"/>
      <c r="G93" s="344" t="e">
        <f>E93=#REF!</f>
        <v>#REF!</v>
      </c>
      <c r="H93" s="98"/>
    </row>
    <row r="94" spans="1:8" s="97" customFormat="1" ht="34.5" hidden="1" customHeight="1" x14ac:dyDescent="0.35">
      <c r="A94" s="404"/>
      <c r="B94" s="224" t="s">
        <v>213</v>
      </c>
      <c r="C94" s="406"/>
      <c r="D94" s="406"/>
      <c r="E94" s="398"/>
      <c r="F94" s="410"/>
      <c r="G94" s="344" t="e">
        <f>E94=#REF!</f>
        <v>#REF!</v>
      </c>
      <c r="H94" s="98"/>
    </row>
    <row r="95" spans="1:8" s="97" customFormat="1" ht="45" customHeight="1" x14ac:dyDescent="0.35">
      <c r="A95" s="228" t="s">
        <v>30</v>
      </c>
      <c r="B95" s="403" t="s">
        <v>54</v>
      </c>
      <c r="C95" s="403"/>
      <c r="D95" s="219" t="s">
        <v>55</v>
      </c>
      <c r="E95" s="271" t="s">
        <v>565</v>
      </c>
      <c r="F95" s="271" t="s">
        <v>566</v>
      </c>
      <c r="G95" s="344"/>
      <c r="H95" s="98"/>
    </row>
    <row r="96" spans="1:8" s="97" customFormat="1" ht="34.5" customHeight="1" x14ac:dyDescent="0.35">
      <c r="A96" s="404" t="s">
        <v>275</v>
      </c>
      <c r="B96" s="407" t="s">
        <v>87</v>
      </c>
      <c r="C96" s="407"/>
      <c r="D96" s="406" t="s">
        <v>72</v>
      </c>
      <c r="E96" s="397">
        <v>50</v>
      </c>
      <c r="F96" s="408">
        <v>95</v>
      </c>
      <c r="G96" s="344" t="e">
        <f>E96=#REF!</f>
        <v>#REF!</v>
      </c>
      <c r="H96" s="422" t="s">
        <v>628</v>
      </c>
    </row>
    <row r="97" spans="1:8" s="97" customFormat="1" ht="34.5" customHeight="1" x14ac:dyDescent="0.35">
      <c r="A97" s="404"/>
      <c r="B97" s="409" t="s">
        <v>88</v>
      </c>
      <c r="C97" s="409"/>
      <c r="D97" s="406"/>
      <c r="E97" s="397"/>
      <c r="F97" s="408"/>
      <c r="G97" s="344"/>
      <c r="H97" s="422"/>
    </row>
    <row r="98" spans="1:8" s="97" customFormat="1" ht="45" hidden="1" customHeight="1" x14ac:dyDescent="0.35">
      <c r="A98" s="228" t="s">
        <v>31</v>
      </c>
      <c r="B98" s="403" t="s">
        <v>54</v>
      </c>
      <c r="C98" s="403"/>
      <c r="D98" s="219" t="s">
        <v>55</v>
      </c>
      <c r="E98" s="219" t="s">
        <v>230</v>
      </c>
      <c r="F98" s="219" t="s">
        <v>226</v>
      </c>
      <c r="G98" s="344" t="e">
        <f>E98=#REF!</f>
        <v>#REF!</v>
      </c>
      <c r="H98" s="98"/>
    </row>
    <row r="99" spans="1:8" s="97" customFormat="1" ht="34.5" hidden="1" customHeight="1" x14ac:dyDescent="0.35">
      <c r="A99" s="220" t="s">
        <v>215</v>
      </c>
      <c r="B99" s="406" t="s">
        <v>216</v>
      </c>
      <c r="C99" s="406"/>
      <c r="D99" s="222" t="s">
        <v>72</v>
      </c>
      <c r="E99" s="117"/>
      <c r="F99" s="118"/>
      <c r="G99" s="344" t="e">
        <f>E99=#REF!</f>
        <v>#REF!</v>
      </c>
      <c r="H99" s="98"/>
    </row>
    <row r="100" spans="1:8" s="97" customFormat="1" ht="34.5" hidden="1" customHeight="1" x14ac:dyDescent="0.35">
      <c r="A100" s="404" t="s">
        <v>217</v>
      </c>
      <c r="B100" s="223" t="s">
        <v>276</v>
      </c>
      <c r="C100" s="405" t="s">
        <v>77</v>
      </c>
      <c r="D100" s="406" t="s">
        <v>79</v>
      </c>
      <c r="E100" s="398"/>
      <c r="F100" s="410"/>
      <c r="G100" s="344" t="e">
        <f>E100=#REF!</f>
        <v>#REF!</v>
      </c>
      <c r="H100" s="98"/>
    </row>
    <row r="101" spans="1:8" s="97" customFormat="1" ht="34.5" hidden="1" customHeight="1" x14ac:dyDescent="0.35">
      <c r="A101" s="404"/>
      <c r="B101" s="224" t="s">
        <v>277</v>
      </c>
      <c r="C101" s="405"/>
      <c r="D101" s="406"/>
      <c r="E101" s="398"/>
      <c r="F101" s="410"/>
      <c r="G101" s="344" t="e">
        <f>E101=#REF!</f>
        <v>#REF!</v>
      </c>
      <c r="H101" s="98"/>
    </row>
    <row r="102" spans="1:8" s="97" customFormat="1" ht="45" customHeight="1" x14ac:dyDescent="0.35">
      <c r="A102" s="228" t="s">
        <v>32</v>
      </c>
      <c r="B102" s="403" t="s">
        <v>54</v>
      </c>
      <c r="C102" s="403"/>
      <c r="D102" s="219" t="s">
        <v>55</v>
      </c>
      <c r="E102" s="271" t="s">
        <v>565</v>
      </c>
      <c r="F102" s="271" t="s">
        <v>566</v>
      </c>
      <c r="G102" s="344"/>
      <c r="H102" s="98"/>
    </row>
    <row r="103" spans="1:8" s="97" customFormat="1" ht="34.5" customHeight="1" x14ac:dyDescent="0.35">
      <c r="A103" s="404" t="s">
        <v>278</v>
      </c>
      <c r="B103" s="223" t="s">
        <v>146</v>
      </c>
      <c r="C103" s="405" t="s">
        <v>77</v>
      </c>
      <c r="D103" s="406" t="s">
        <v>79</v>
      </c>
      <c r="E103" s="398">
        <v>0.9</v>
      </c>
      <c r="F103" s="398">
        <v>0.9</v>
      </c>
      <c r="G103" s="344" t="e">
        <f>E103=#REF!</f>
        <v>#REF!</v>
      </c>
      <c r="H103" s="314"/>
    </row>
    <row r="104" spans="1:8" ht="34.5" customHeight="1" x14ac:dyDescent="0.35">
      <c r="A104" s="404"/>
      <c r="B104" s="119" t="s">
        <v>89</v>
      </c>
      <c r="C104" s="405"/>
      <c r="D104" s="406"/>
      <c r="E104" s="398"/>
      <c r="F104" s="398"/>
      <c r="G104" s="344"/>
      <c r="H104" s="314"/>
    </row>
    <row r="105" spans="1:8" ht="34.5" customHeight="1" x14ac:dyDescent="0.35">
      <c r="A105" s="404" t="s">
        <v>279</v>
      </c>
      <c r="B105" s="223" t="s">
        <v>147</v>
      </c>
      <c r="C105" s="405" t="s">
        <v>77</v>
      </c>
      <c r="D105" s="406" t="s">
        <v>208</v>
      </c>
      <c r="E105" s="398">
        <v>0.95</v>
      </c>
      <c r="F105" s="398">
        <v>0.95</v>
      </c>
      <c r="G105" s="344" t="e">
        <f>E105=#REF!</f>
        <v>#REF!</v>
      </c>
      <c r="H105" s="314"/>
    </row>
    <row r="106" spans="1:8" ht="34.5" customHeight="1" x14ac:dyDescent="0.35">
      <c r="A106" s="404"/>
      <c r="B106" s="119" t="s">
        <v>90</v>
      </c>
      <c r="C106" s="405"/>
      <c r="D106" s="406"/>
      <c r="E106" s="398"/>
      <c r="F106" s="398"/>
      <c r="G106" s="345"/>
      <c r="H106" s="314"/>
    </row>
    <row r="107" spans="1:8" ht="21.75" hidden="1" customHeight="1" x14ac:dyDescent="0.35"/>
    <row r="108" spans="1:8" hidden="1" x14ac:dyDescent="0.35">
      <c r="A108" s="424" t="s">
        <v>231</v>
      </c>
      <c r="B108" s="424"/>
      <c r="C108" s="424"/>
      <c r="D108" s="424"/>
      <c r="E108" s="424"/>
      <c r="F108" s="424"/>
    </row>
    <row r="109" spans="1:8" ht="45" hidden="1" customHeight="1" x14ac:dyDescent="0.35">
      <c r="A109" s="425"/>
      <c r="B109" s="426"/>
      <c r="C109" s="426"/>
      <c r="D109" s="426"/>
      <c r="E109" s="426"/>
      <c r="F109" s="426"/>
    </row>
    <row r="111" spans="1:8" hidden="1" x14ac:dyDescent="0.35">
      <c r="A111" s="124" t="s">
        <v>280</v>
      </c>
    </row>
    <row r="112" spans="1:8" hidden="1" x14ac:dyDescent="0.35">
      <c r="A112" s="215" t="str">
        <f>A12</f>
        <v>Tornar a fiscalização um vetor de melhoria do exercício da Arquitetura e Urbanismo</v>
      </c>
    </row>
    <row r="113" spans="1:1" hidden="1" x14ac:dyDescent="0.35">
      <c r="A113" s="125" t="str">
        <f>A40</f>
        <v>Estimular o conhecimento, o uso de processos criativos e a difusão das melhores práticas em Arquitetura e Urbanismo</v>
      </c>
    </row>
    <row r="114" spans="1:1" hidden="1" x14ac:dyDescent="0.35">
      <c r="A114" s="215" t="str">
        <f>A51</f>
        <v>Estimular a produção da arquitetura e urbanismo como política de Estado</v>
      </c>
    </row>
    <row r="115" spans="1:1" hidden="1" x14ac:dyDescent="0.35">
      <c r="A115" s="125" t="str">
        <f>A56</f>
        <v>Assegurar a eficácia no relacionamento e comunicação com a sociedade</v>
      </c>
    </row>
    <row r="116" spans="1:1" hidden="1" x14ac:dyDescent="0.35">
      <c r="A116" s="215" t="str">
        <f>A70</f>
        <v>Fomentar o acesso da sociedade à Arquitetura e Urbanismo</v>
      </c>
    </row>
    <row r="117" spans="1:1" hidden="1" x14ac:dyDescent="0.35">
      <c r="A117" s="125" t="str">
        <f>A77</f>
        <v>Assegurar a sustentabilidade financeira</v>
      </c>
    </row>
    <row r="118" spans="1:1" hidden="1" x14ac:dyDescent="0.35">
      <c r="A118" s="215" t="str">
        <f>A95</f>
        <v>Desenvolver competências de dirigentes e colaboradores</v>
      </c>
    </row>
    <row r="119" spans="1:1" hidden="1" x14ac:dyDescent="0.35">
      <c r="A119" s="215" t="str">
        <f>A102</f>
        <v>Ter sistemas de informação e infraestrutura que viabilizem a gestão e o atendimento dos arquitetos e urbanistas e a sociedade</v>
      </c>
    </row>
    <row r="120" spans="1:1" hidden="1" x14ac:dyDescent="0.35">
      <c r="A120" s="125"/>
    </row>
    <row r="121" spans="1:1" hidden="1" x14ac:dyDescent="0.35">
      <c r="A121" s="125"/>
    </row>
    <row r="122" spans="1:1" hidden="1" x14ac:dyDescent="0.35">
      <c r="A122" s="125"/>
    </row>
    <row r="123" spans="1:1" hidden="1" x14ac:dyDescent="0.35">
      <c r="A123" s="125"/>
    </row>
    <row r="124" spans="1:1" hidden="1" x14ac:dyDescent="0.35">
      <c r="A124" s="125"/>
    </row>
    <row r="125" spans="1:1" hidden="1" x14ac:dyDescent="0.35">
      <c r="A125" s="125"/>
    </row>
    <row r="126" spans="1:1" hidden="1" x14ac:dyDescent="0.35">
      <c r="A126" s="125"/>
    </row>
    <row r="127" spans="1:1" hidden="1" x14ac:dyDescent="0.35">
      <c r="A127" s="125"/>
    </row>
  </sheetData>
  <protectedRanges>
    <protectedRange algorithmName="SHA-512" hashValue="oBu0U8UHWW1M9CSBiI+2smTKBuiu7zBMJPASzxaVW3/YfTocFsZXqoNbgPAUiXKweXnE/VLNBYi0YQjO9aRFIA==" saltValue="Uwn4xh4BFhDBBJp6oLNp+A==" spinCount="100000" sqref="A5:B5 G1:H2 G4:H1048576" name="Indicadores"/>
  </protectedRanges>
  <mergeCells count="234">
    <mergeCell ref="H96:H97"/>
    <mergeCell ref="B5:F5"/>
    <mergeCell ref="A108:F108"/>
    <mergeCell ref="A109:F109"/>
    <mergeCell ref="A11:F11"/>
    <mergeCell ref="B12:C12"/>
    <mergeCell ref="A13:A14"/>
    <mergeCell ref="C13:C14"/>
    <mergeCell ref="D13:D14"/>
    <mergeCell ref="F13:F14"/>
    <mergeCell ref="A6:F6"/>
    <mergeCell ref="B7:C7"/>
    <mergeCell ref="A8:A9"/>
    <mergeCell ref="C8:C9"/>
    <mergeCell ref="D8:D9"/>
    <mergeCell ref="F8:F9"/>
    <mergeCell ref="A15:A16"/>
    <mergeCell ref="C15:C16"/>
    <mergeCell ref="D15:D16"/>
    <mergeCell ref="F15:F16"/>
    <mergeCell ref="A17:A18"/>
    <mergeCell ref="B17:C17"/>
    <mergeCell ref="D17:D18"/>
    <mergeCell ref="F17:F18"/>
    <mergeCell ref="B18:C18"/>
    <mergeCell ref="E17:E18"/>
    <mergeCell ref="A19:A20"/>
    <mergeCell ref="C19:C20"/>
    <mergeCell ref="D19:D20"/>
    <mergeCell ref="F19:F20"/>
    <mergeCell ref="A21:A22"/>
    <mergeCell ref="C21:C22"/>
    <mergeCell ref="D21:D22"/>
    <mergeCell ref="F21:F22"/>
    <mergeCell ref="E19:E20"/>
    <mergeCell ref="E21:E22"/>
    <mergeCell ref="A23:A24"/>
    <mergeCell ref="C23:C24"/>
    <mergeCell ref="D23:D24"/>
    <mergeCell ref="F23:F24"/>
    <mergeCell ref="A25:A26"/>
    <mergeCell ref="C25:C26"/>
    <mergeCell ref="D25:D26"/>
    <mergeCell ref="F25:F26"/>
    <mergeCell ref="E23:E24"/>
    <mergeCell ref="E25:E26"/>
    <mergeCell ref="A27:A28"/>
    <mergeCell ref="C27:C28"/>
    <mergeCell ref="D27:D28"/>
    <mergeCell ref="F27:F28"/>
    <mergeCell ref="A29:A30"/>
    <mergeCell ref="C29:C30"/>
    <mergeCell ref="D29:D30"/>
    <mergeCell ref="F29:F30"/>
    <mergeCell ref="E27:E28"/>
    <mergeCell ref="E29:E30"/>
    <mergeCell ref="A36:A37"/>
    <mergeCell ref="C36:C37"/>
    <mergeCell ref="D36:D37"/>
    <mergeCell ref="F36:F37"/>
    <mergeCell ref="A38:A39"/>
    <mergeCell ref="C38:C39"/>
    <mergeCell ref="D38:D39"/>
    <mergeCell ref="F38:F39"/>
    <mergeCell ref="A31:A32"/>
    <mergeCell ref="C31:C32"/>
    <mergeCell ref="D31:D32"/>
    <mergeCell ref="F31:F32"/>
    <mergeCell ref="B33:C33"/>
    <mergeCell ref="A34:A35"/>
    <mergeCell ref="C34:C35"/>
    <mergeCell ref="D34:D35"/>
    <mergeCell ref="F34:F35"/>
    <mergeCell ref="E31:E32"/>
    <mergeCell ref="E34:E35"/>
    <mergeCell ref="E36:E37"/>
    <mergeCell ref="E38:E39"/>
    <mergeCell ref="B40:C40"/>
    <mergeCell ref="A41:A42"/>
    <mergeCell ref="C41:C42"/>
    <mergeCell ref="D41:D42"/>
    <mergeCell ref="F41:F42"/>
    <mergeCell ref="A43:A44"/>
    <mergeCell ref="C43:C44"/>
    <mergeCell ref="D43:D44"/>
    <mergeCell ref="F43:F44"/>
    <mergeCell ref="E41:E42"/>
    <mergeCell ref="E43:E44"/>
    <mergeCell ref="A45:A46"/>
    <mergeCell ref="B45:C45"/>
    <mergeCell ref="D45:D46"/>
    <mergeCell ref="F45:F46"/>
    <mergeCell ref="B46:C46"/>
    <mergeCell ref="A47:A48"/>
    <mergeCell ref="C47:C48"/>
    <mergeCell ref="D47:D48"/>
    <mergeCell ref="F47:F48"/>
    <mergeCell ref="E47:E48"/>
    <mergeCell ref="E45:E46"/>
    <mergeCell ref="F52:F53"/>
    <mergeCell ref="A54:A55"/>
    <mergeCell ref="C54:C55"/>
    <mergeCell ref="D54:D55"/>
    <mergeCell ref="F54:F55"/>
    <mergeCell ref="B56:C56"/>
    <mergeCell ref="B49:C49"/>
    <mergeCell ref="B50:C50"/>
    <mergeCell ref="B51:C51"/>
    <mergeCell ref="A52:A53"/>
    <mergeCell ref="C52:C53"/>
    <mergeCell ref="D52:D53"/>
    <mergeCell ref="E52:E53"/>
    <mergeCell ref="E54:E55"/>
    <mergeCell ref="B62:C62"/>
    <mergeCell ref="B63:C63"/>
    <mergeCell ref="A64:A65"/>
    <mergeCell ref="C64:C65"/>
    <mergeCell ref="D64:D65"/>
    <mergeCell ref="F64:F65"/>
    <mergeCell ref="E64:E65"/>
    <mergeCell ref="B57:C57"/>
    <mergeCell ref="A58:A59"/>
    <mergeCell ref="C58:C59"/>
    <mergeCell ref="D58:D59"/>
    <mergeCell ref="F58:F59"/>
    <mergeCell ref="A60:A61"/>
    <mergeCell ref="C60:C61"/>
    <mergeCell ref="D60:D61"/>
    <mergeCell ref="F60:F61"/>
    <mergeCell ref="E58:E59"/>
    <mergeCell ref="E60:E61"/>
    <mergeCell ref="B70:C70"/>
    <mergeCell ref="A71:A72"/>
    <mergeCell ref="B71:C71"/>
    <mergeCell ref="D71:D72"/>
    <mergeCell ref="F71:F72"/>
    <mergeCell ref="B72:C72"/>
    <mergeCell ref="A66:A67"/>
    <mergeCell ref="C66:C67"/>
    <mergeCell ref="D66:D67"/>
    <mergeCell ref="F66:F67"/>
    <mergeCell ref="A68:A69"/>
    <mergeCell ref="B68:C68"/>
    <mergeCell ref="D68:D69"/>
    <mergeCell ref="F68:F69"/>
    <mergeCell ref="B69:C69"/>
    <mergeCell ref="E66:E67"/>
    <mergeCell ref="B77:C77"/>
    <mergeCell ref="A78:A79"/>
    <mergeCell ref="B78:C78"/>
    <mergeCell ref="D78:D79"/>
    <mergeCell ref="F78:F79"/>
    <mergeCell ref="B79:C79"/>
    <mergeCell ref="A73:A74"/>
    <mergeCell ref="C73:C74"/>
    <mergeCell ref="D73:D74"/>
    <mergeCell ref="F73:F74"/>
    <mergeCell ref="A75:A76"/>
    <mergeCell ref="C75:C76"/>
    <mergeCell ref="D75:D76"/>
    <mergeCell ref="F75:F76"/>
    <mergeCell ref="A80:A81"/>
    <mergeCell ref="C80:C81"/>
    <mergeCell ref="D80:D81"/>
    <mergeCell ref="F80:F81"/>
    <mergeCell ref="A82:A83"/>
    <mergeCell ref="B82:C82"/>
    <mergeCell ref="D82:D83"/>
    <mergeCell ref="F82:F83"/>
    <mergeCell ref="B83:C83"/>
    <mergeCell ref="E82:E83"/>
    <mergeCell ref="D93:D94"/>
    <mergeCell ref="E91:E92"/>
    <mergeCell ref="B88:C88"/>
    <mergeCell ref="A89:A90"/>
    <mergeCell ref="C89:C90"/>
    <mergeCell ref="D89:D90"/>
    <mergeCell ref="F89:F90"/>
    <mergeCell ref="E89:E90"/>
    <mergeCell ref="A84:A85"/>
    <mergeCell ref="C84:C85"/>
    <mergeCell ref="D84:D85"/>
    <mergeCell ref="F84:F85"/>
    <mergeCell ref="A86:A87"/>
    <mergeCell ref="C86:C87"/>
    <mergeCell ref="D86:D87"/>
    <mergeCell ref="F86:F87"/>
    <mergeCell ref="E84:E85"/>
    <mergeCell ref="E86:E87"/>
    <mergeCell ref="E93:E94"/>
    <mergeCell ref="A105:A106"/>
    <mergeCell ref="C105:C106"/>
    <mergeCell ref="D105:D106"/>
    <mergeCell ref="F105:F106"/>
    <mergeCell ref="B98:C98"/>
    <mergeCell ref="B99:C99"/>
    <mergeCell ref="A100:A101"/>
    <mergeCell ref="C100:C101"/>
    <mergeCell ref="D100:D101"/>
    <mergeCell ref="F100:F101"/>
    <mergeCell ref="A1:F1"/>
    <mergeCell ref="A2:F2"/>
    <mergeCell ref="A3:F3"/>
    <mergeCell ref="E8:E9"/>
    <mergeCell ref="E13:E14"/>
    <mergeCell ref="E15:E16"/>
    <mergeCell ref="B102:C102"/>
    <mergeCell ref="A103:A104"/>
    <mergeCell ref="C103:C104"/>
    <mergeCell ref="D103:D104"/>
    <mergeCell ref="F103:F104"/>
    <mergeCell ref="B95:C95"/>
    <mergeCell ref="A96:A97"/>
    <mergeCell ref="B96:C96"/>
    <mergeCell ref="D96:D97"/>
    <mergeCell ref="F96:F97"/>
    <mergeCell ref="B97:C97"/>
    <mergeCell ref="A91:A92"/>
    <mergeCell ref="C91:C92"/>
    <mergeCell ref="D91:D92"/>
    <mergeCell ref="F91:F92"/>
    <mergeCell ref="F93:F94"/>
    <mergeCell ref="A93:A94"/>
    <mergeCell ref="C93:C94"/>
    <mergeCell ref="E96:E97"/>
    <mergeCell ref="E100:E101"/>
    <mergeCell ref="E103:E104"/>
    <mergeCell ref="E105:E106"/>
    <mergeCell ref="E68:E69"/>
    <mergeCell ref="E71:E72"/>
    <mergeCell ref="E73:E74"/>
    <mergeCell ref="E75:E76"/>
    <mergeCell ref="E78:E79"/>
    <mergeCell ref="E80:E81"/>
  </mergeCells>
  <phoneticPr fontId="13" type="noConversion"/>
  <conditionalFormatting sqref="G13:G105">
    <cfRule type="cellIs" dxfId="25" priority="1" operator="equal">
      <formula>TRUE</formula>
    </cfRule>
  </conditionalFormatting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2" max="4" man="1"/>
    <brk id="76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'Validação de dados'!$D$1:$D$16</xm:f>
          </x14:formula1>
          <xm:sqref>A112:A127</xm:sqref>
        </x14:dataValidation>
        <x14:dataValidation type="list" allowBlank="1" showInputMessage="1" showErrorMessage="1" xr:uid="{00000000-0002-0000-0200-000001000000}">
          <x14:formula1>
            <xm:f>'Validação de dados'!$G$1:$G$28</xm:f>
          </x14:formula1>
          <xm:sqref>B5:F5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92D050"/>
    <pageSetUpPr fitToPage="1"/>
  </sheetPr>
  <dimension ref="A1:AA25"/>
  <sheetViews>
    <sheetView showGridLines="0" topLeftCell="A13" zoomScale="55" zoomScaleNormal="55" zoomScaleSheetLayoutView="80" workbookViewId="0">
      <selection activeCell="L17" sqref="L17"/>
    </sheetView>
  </sheetViews>
  <sheetFormatPr defaultColWidth="9.140625" defaultRowHeight="26.25" x14ac:dyDescent="0.25"/>
  <cols>
    <col min="1" max="1" width="27.5703125" style="320" customWidth="1"/>
    <col min="2" max="2" width="13" style="320" bestFit="1" customWidth="1"/>
    <col min="3" max="3" width="13" style="320" customWidth="1"/>
    <col min="4" max="4" width="41.7109375" style="320" customWidth="1"/>
    <col min="5" max="5" width="46.5703125" style="320" customWidth="1"/>
    <col min="6" max="6" width="57" style="320" customWidth="1"/>
    <col min="7" max="7" width="21" style="320" customWidth="1"/>
    <col min="8" max="8" width="41.42578125" style="320" customWidth="1"/>
    <col min="9" max="10" width="20" style="320" customWidth="1"/>
    <col min="11" max="12" width="21.28515625" style="320" bestFit="1" customWidth="1"/>
    <col min="13" max="13" width="20" style="320" customWidth="1"/>
    <col min="14" max="14" width="21.5703125" style="320" bestFit="1" customWidth="1"/>
    <col min="15" max="15" width="17" style="320" bestFit="1" customWidth="1"/>
    <col min="16" max="16" width="24.5703125" style="357" hidden="1" customWidth="1"/>
    <col min="17" max="17" width="23.85546875" style="320" hidden="1" customWidth="1"/>
    <col min="18" max="18" width="22.85546875" style="181" hidden="1" customWidth="1"/>
    <col min="19" max="23" width="23.7109375" style="320" hidden="1" customWidth="1"/>
    <col min="24" max="24" width="15.5703125" style="320" hidden="1" customWidth="1"/>
    <col min="25" max="25" width="17.5703125" style="360" customWidth="1"/>
    <col min="26" max="27" width="12.28515625" style="320" bestFit="1" customWidth="1"/>
    <col min="28" max="16384" width="9.140625" style="181"/>
  </cols>
  <sheetData>
    <row r="1" spans="1:27" x14ac:dyDescent="0.25">
      <c r="A1" s="439" t="s">
        <v>597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27" x14ac:dyDescent="0.25">
      <c r="A2" s="424" t="s">
        <v>574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27" s="355" customFormat="1" x14ac:dyDescent="0.25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8"/>
      <c r="Q3" s="356"/>
      <c r="S3" s="356"/>
      <c r="T3" s="356"/>
      <c r="U3" s="356"/>
      <c r="V3" s="356"/>
      <c r="W3" s="356"/>
      <c r="X3" s="356"/>
      <c r="Y3" s="361"/>
      <c r="Z3" s="356"/>
      <c r="AA3" s="356"/>
    </row>
    <row r="4" spans="1:27" x14ac:dyDescent="0.25">
      <c r="A4" s="454" t="s">
        <v>64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27" ht="26.25" customHeight="1" x14ac:dyDescent="0.25">
      <c r="A5" s="446" t="s">
        <v>4</v>
      </c>
      <c r="B5" s="446" t="s">
        <v>144</v>
      </c>
      <c r="C5" s="446" t="s">
        <v>588</v>
      </c>
      <c r="D5" s="446" t="s">
        <v>5</v>
      </c>
      <c r="E5" s="446" t="s">
        <v>53</v>
      </c>
      <c r="F5" s="446" t="s">
        <v>34</v>
      </c>
      <c r="G5" s="446" t="s">
        <v>282</v>
      </c>
      <c r="H5" s="446" t="s">
        <v>65</v>
      </c>
      <c r="I5" s="446" t="s">
        <v>567</v>
      </c>
      <c r="J5" s="447" t="s">
        <v>568</v>
      </c>
      <c r="K5" s="447"/>
      <c r="L5" s="447" t="s">
        <v>570</v>
      </c>
      <c r="M5" s="452" t="s">
        <v>569</v>
      </c>
      <c r="N5" s="446" t="s">
        <v>571</v>
      </c>
      <c r="O5" s="446"/>
    </row>
    <row r="6" spans="1:27" ht="66.75" customHeight="1" x14ac:dyDescent="0.25">
      <c r="A6" s="446"/>
      <c r="B6" s="446"/>
      <c r="C6" s="446"/>
      <c r="D6" s="446"/>
      <c r="E6" s="446"/>
      <c r="F6" s="446"/>
      <c r="G6" s="446"/>
      <c r="H6" s="446"/>
      <c r="I6" s="446"/>
      <c r="J6" s="342" t="s">
        <v>671</v>
      </c>
      <c r="K6" s="342" t="s">
        <v>672</v>
      </c>
      <c r="L6" s="447"/>
      <c r="M6" s="452"/>
      <c r="N6" s="342" t="s">
        <v>572</v>
      </c>
      <c r="O6" s="342" t="s">
        <v>573</v>
      </c>
      <c r="Q6" s="453" t="s">
        <v>662</v>
      </c>
      <c r="R6" s="453"/>
    </row>
    <row r="7" spans="1:27" ht="67.5" customHeight="1" x14ac:dyDescent="0.25">
      <c r="A7" s="12" t="s">
        <v>498</v>
      </c>
      <c r="B7" s="341" t="s">
        <v>288</v>
      </c>
      <c r="C7" s="341" t="s">
        <v>590</v>
      </c>
      <c r="D7" s="12" t="s">
        <v>504</v>
      </c>
      <c r="E7" s="188" t="s">
        <v>505</v>
      </c>
      <c r="F7" s="12" t="s">
        <v>28</v>
      </c>
      <c r="G7" s="12"/>
      <c r="H7" s="188" t="s">
        <v>531</v>
      </c>
      <c r="I7" s="13">
        <v>18619.740000000002</v>
      </c>
      <c r="J7" s="13">
        <v>11830.4</v>
      </c>
      <c r="K7" s="336">
        <f>'Anexo 4. '!F171</f>
        <v>3875.41</v>
      </c>
      <c r="L7" s="285">
        <f>J7+K7</f>
        <v>15705.81</v>
      </c>
      <c r="M7" s="13"/>
      <c r="N7" s="128">
        <f>L7-I7</f>
        <v>-2913.9300000000021</v>
      </c>
      <c r="O7" s="129">
        <f>IFERROR(N7/I7*100,)</f>
        <v>-15.649681467088165</v>
      </c>
      <c r="P7" s="359" t="e">
        <f>I7=#REF!</f>
        <v>#REF!</v>
      </c>
      <c r="Q7" s="321">
        <f>DEMONSTRATIVO!G44</f>
        <v>11830.4</v>
      </c>
      <c r="R7" s="320" t="b">
        <f>Q7=J7</f>
        <v>1</v>
      </c>
      <c r="S7" s="320" t="b">
        <v>1</v>
      </c>
      <c r="T7" s="320" t="b">
        <v>1</v>
      </c>
      <c r="U7" s="320" t="b">
        <v>1</v>
      </c>
      <c r="V7" s="320" t="b">
        <v>1</v>
      </c>
      <c r="W7" s="320" t="b">
        <v>1</v>
      </c>
      <c r="X7" s="320" t="b">
        <v>1</v>
      </c>
      <c r="Y7" s="363">
        <f>'Diretrizes - Resumo'!AN6</f>
        <v>15705.81</v>
      </c>
    </row>
    <row r="8" spans="1:27" ht="67.5" customHeight="1" x14ac:dyDescent="0.25">
      <c r="A8" s="12" t="s">
        <v>498</v>
      </c>
      <c r="B8" s="341" t="s">
        <v>288</v>
      </c>
      <c r="C8" s="341" t="s">
        <v>590</v>
      </c>
      <c r="D8" s="12" t="s">
        <v>506</v>
      </c>
      <c r="E8" s="188" t="s">
        <v>507</v>
      </c>
      <c r="F8" s="12" t="s">
        <v>109</v>
      </c>
      <c r="G8" s="12"/>
      <c r="H8" s="188" t="s">
        <v>532</v>
      </c>
      <c r="I8" s="13">
        <v>9280.73</v>
      </c>
      <c r="J8" s="13">
        <v>6265.24</v>
      </c>
      <c r="K8" s="336">
        <f>'Anexo 4. '!F180</f>
        <v>3865.6200000000008</v>
      </c>
      <c r="L8" s="285">
        <f t="shared" ref="L8:L20" si="0">J8+K8</f>
        <v>10130.86</v>
      </c>
      <c r="M8" s="189"/>
      <c r="N8" s="128">
        <f t="shared" ref="N8:N20" si="1">L8-I8</f>
        <v>850.13000000000102</v>
      </c>
      <c r="O8" s="129">
        <f t="shared" ref="O8:O20" si="2">IFERROR(N8/I8*100,)</f>
        <v>9.1601630475189033</v>
      </c>
      <c r="P8" s="359" t="e">
        <f>I8=#REF!</f>
        <v>#REF!</v>
      </c>
      <c r="Q8" s="321">
        <f>DEMONSTRATIVO!G50</f>
        <v>6265.24</v>
      </c>
      <c r="R8" s="320" t="b">
        <f t="shared" ref="R8:R21" si="3">Q8=J8</f>
        <v>1</v>
      </c>
      <c r="S8" s="320" t="b">
        <v>1</v>
      </c>
      <c r="T8" s="320" t="b">
        <v>1</v>
      </c>
      <c r="U8" s="320" t="b">
        <v>1</v>
      </c>
      <c r="V8" s="320" t="b">
        <v>1</v>
      </c>
      <c r="W8" s="320" t="b">
        <v>1</v>
      </c>
      <c r="X8" s="320" t="b">
        <v>1</v>
      </c>
      <c r="Y8" s="363">
        <f>'Diretrizes - Resumo'!AN4</f>
        <v>10130.86</v>
      </c>
    </row>
    <row r="9" spans="1:27" ht="67.5" customHeight="1" x14ac:dyDescent="0.25">
      <c r="A9" s="12" t="s">
        <v>498</v>
      </c>
      <c r="B9" s="341" t="s">
        <v>288</v>
      </c>
      <c r="C9" s="341" t="s">
        <v>590</v>
      </c>
      <c r="D9" s="12" t="s">
        <v>508</v>
      </c>
      <c r="E9" s="188" t="s">
        <v>507</v>
      </c>
      <c r="F9" s="12" t="s">
        <v>20</v>
      </c>
      <c r="G9" s="12"/>
      <c r="H9" s="188" t="s">
        <v>532</v>
      </c>
      <c r="I9" s="13">
        <v>80242.41</v>
      </c>
      <c r="J9" s="13">
        <v>53525.59</v>
      </c>
      <c r="K9" s="336">
        <f>'Anexo 4. '!F189</f>
        <v>26410.400000000009</v>
      </c>
      <c r="L9" s="285">
        <f>J9+K9</f>
        <v>79935.990000000005</v>
      </c>
      <c r="M9" s="13"/>
      <c r="N9" s="128">
        <f t="shared" si="1"/>
        <v>-306.41999999999825</v>
      </c>
      <c r="O9" s="129">
        <f t="shared" si="2"/>
        <v>-0.38186789255207843</v>
      </c>
      <c r="P9" s="359" t="e">
        <f>I9=#REF!</f>
        <v>#REF!</v>
      </c>
      <c r="Q9" s="321">
        <f>DEMONSTRATIVO!G52</f>
        <v>53525.59</v>
      </c>
      <c r="R9" s="320" t="b">
        <f t="shared" si="3"/>
        <v>1</v>
      </c>
      <c r="S9" s="320" t="b">
        <v>1</v>
      </c>
      <c r="T9" s="320" t="b">
        <v>1</v>
      </c>
      <c r="U9" s="320" t="b">
        <v>1</v>
      </c>
      <c r="V9" s="320" t="b">
        <v>1</v>
      </c>
      <c r="W9" s="320" t="b">
        <v>1</v>
      </c>
      <c r="X9" s="320" t="b">
        <v>1</v>
      </c>
      <c r="Y9" s="363">
        <f>'Diretrizes - Resumo'!AN3</f>
        <v>79935.990000000005</v>
      </c>
    </row>
    <row r="10" spans="1:27" ht="67.5" customHeight="1" x14ac:dyDescent="0.25">
      <c r="A10" s="12" t="s">
        <v>498</v>
      </c>
      <c r="B10" s="341" t="s">
        <v>288</v>
      </c>
      <c r="C10" s="341" t="s">
        <v>590</v>
      </c>
      <c r="D10" s="12" t="s">
        <v>509</v>
      </c>
      <c r="E10" s="12" t="s">
        <v>510</v>
      </c>
      <c r="F10" s="12" t="s">
        <v>28</v>
      </c>
      <c r="G10" s="12"/>
      <c r="H10" s="12" t="s">
        <v>533</v>
      </c>
      <c r="I10" s="13">
        <v>10000</v>
      </c>
      <c r="J10" s="13">
        <v>0</v>
      </c>
      <c r="K10" s="336">
        <f>'Anexo 4. '!F198</f>
        <v>2595.2799999999997</v>
      </c>
      <c r="L10" s="285">
        <f t="shared" si="0"/>
        <v>2595.2799999999997</v>
      </c>
      <c r="M10" s="13"/>
      <c r="N10" s="128">
        <f t="shared" si="1"/>
        <v>-7404.72</v>
      </c>
      <c r="O10" s="129">
        <f t="shared" si="2"/>
        <v>-74.047200000000004</v>
      </c>
      <c r="P10" s="359" t="e">
        <f>I10=#REF!</f>
        <v>#REF!</v>
      </c>
      <c r="Q10" s="321">
        <f>DEMONSTRATIVO!G42</f>
        <v>0</v>
      </c>
      <c r="R10" s="320" t="b">
        <f t="shared" si="3"/>
        <v>1</v>
      </c>
      <c r="S10" s="320" t="b">
        <v>1</v>
      </c>
      <c r="T10" s="320" t="b">
        <v>1</v>
      </c>
      <c r="U10" s="320" t="b">
        <v>1</v>
      </c>
      <c r="V10" s="320" t="b">
        <v>1</v>
      </c>
      <c r="W10" s="320" t="b">
        <v>1</v>
      </c>
      <c r="X10" s="320" t="b">
        <v>1</v>
      </c>
    </row>
    <row r="11" spans="1:27" ht="67.5" customHeight="1" x14ac:dyDescent="0.25">
      <c r="A11" s="12" t="s">
        <v>499</v>
      </c>
      <c r="B11" s="341" t="s">
        <v>288</v>
      </c>
      <c r="C11" s="341" t="s">
        <v>590</v>
      </c>
      <c r="D11" s="12" t="s">
        <v>511</v>
      </c>
      <c r="E11" s="12" t="s">
        <v>512</v>
      </c>
      <c r="F11" s="12" t="s">
        <v>32</v>
      </c>
      <c r="G11" s="12"/>
      <c r="H11" s="12" t="s">
        <v>534</v>
      </c>
      <c r="I11" s="13">
        <v>772200</v>
      </c>
      <c r="J11" s="13">
        <v>420657.99</v>
      </c>
      <c r="K11" s="336">
        <f>'Anexo 4. '!F40</f>
        <v>236958.04</v>
      </c>
      <c r="L11" s="285">
        <f t="shared" si="0"/>
        <v>657616.03</v>
      </c>
      <c r="M11" s="336">
        <f>'Anexo 3. Elemento de Despesas'!O11</f>
        <v>21286</v>
      </c>
      <c r="N11" s="128">
        <f t="shared" si="1"/>
        <v>-114583.96999999997</v>
      </c>
      <c r="O11" s="129">
        <f t="shared" si="2"/>
        <v>-14.838638953638949</v>
      </c>
      <c r="P11" s="359" t="e">
        <f>I11=#REF!</f>
        <v>#REF!</v>
      </c>
      <c r="Q11" s="321">
        <f>DEMONSTRATIVO!G34</f>
        <v>420657.99</v>
      </c>
      <c r="R11" s="320" t="b">
        <f t="shared" si="3"/>
        <v>1</v>
      </c>
      <c r="S11" s="320" t="b">
        <v>1</v>
      </c>
      <c r="T11" s="320" t="b">
        <v>1</v>
      </c>
      <c r="U11" s="320" t="b">
        <v>1</v>
      </c>
      <c r="V11" s="320" t="b">
        <v>1</v>
      </c>
      <c r="W11" s="320" t="b">
        <v>1</v>
      </c>
      <c r="X11" s="320" t="b">
        <v>1</v>
      </c>
    </row>
    <row r="12" spans="1:27" ht="67.5" customHeight="1" x14ac:dyDescent="0.25">
      <c r="A12" s="12" t="s">
        <v>500</v>
      </c>
      <c r="B12" s="341" t="s">
        <v>288</v>
      </c>
      <c r="C12" s="341" t="s">
        <v>590</v>
      </c>
      <c r="D12" s="12" t="s">
        <v>513</v>
      </c>
      <c r="E12" s="12" t="s">
        <v>514</v>
      </c>
      <c r="F12" s="12" t="s">
        <v>109</v>
      </c>
      <c r="G12" s="12"/>
      <c r="H12" s="12" t="s">
        <v>535</v>
      </c>
      <c r="I12" s="13">
        <v>218534.56</v>
      </c>
      <c r="J12" s="13">
        <v>135070.19</v>
      </c>
      <c r="K12" s="336">
        <f>'Anexo 4. '!F57</f>
        <v>65453.450000000004</v>
      </c>
      <c r="L12" s="285">
        <f t="shared" si="0"/>
        <v>200523.64</v>
      </c>
      <c r="M12" s="336">
        <f>'Anexo 3. Elemento de Despesas'!O12</f>
        <v>5768</v>
      </c>
      <c r="N12" s="128">
        <f t="shared" si="1"/>
        <v>-18010.919999999984</v>
      </c>
      <c r="O12" s="129">
        <f t="shared" si="2"/>
        <v>-8.2416804005737045</v>
      </c>
      <c r="P12" s="359" t="e">
        <f>I12=#REF!</f>
        <v>#REF!</v>
      </c>
      <c r="Q12" s="321">
        <f>DEMONSTRATIVO!G56</f>
        <v>135070.19</v>
      </c>
      <c r="R12" s="320" t="b">
        <f t="shared" si="3"/>
        <v>1</v>
      </c>
      <c r="S12" s="320" t="b">
        <v>1</v>
      </c>
      <c r="T12" s="320" t="b">
        <v>1</v>
      </c>
      <c r="U12" s="320" t="b">
        <v>1</v>
      </c>
      <c r="V12" s="320" t="b">
        <v>1</v>
      </c>
      <c r="W12" s="320" t="b">
        <v>1</v>
      </c>
      <c r="X12" s="320" t="b">
        <v>1</v>
      </c>
    </row>
    <row r="13" spans="1:27" ht="67.5" customHeight="1" x14ac:dyDescent="0.25">
      <c r="A13" s="12" t="s">
        <v>500</v>
      </c>
      <c r="B13" s="341" t="s">
        <v>288</v>
      </c>
      <c r="C13" s="341" t="s">
        <v>590</v>
      </c>
      <c r="D13" s="12" t="s">
        <v>515</v>
      </c>
      <c r="E13" s="12" t="s">
        <v>516</v>
      </c>
      <c r="F13" s="12" t="s">
        <v>20</v>
      </c>
      <c r="G13" s="12"/>
      <c r="H13" s="12" t="s">
        <v>536</v>
      </c>
      <c r="I13" s="13">
        <v>382830</v>
      </c>
      <c r="J13" s="13">
        <v>254306.68</v>
      </c>
      <c r="K13" s="336">
        <f>'Anexo 4. '!F77</f>
        <v>116461.98</v>
      </c>
      <c r="L13" s="285">
        <f t="shared" si="0"/>
        <v>370768.66</v>
      </c>
      <c r="M13" s="336"/>
      <c r="N13" s="128">
        <f t="shared" si="1"/>
        <v>-12061.340000000026</v>
      </c>
      <c r="O13" s="129">
        <f t="shared" si="2"/>
        <v>-3.1505733615442955</v>
      </c>
      <c r="P13" s="359" t="e">
        <f>I13=#REF!</f>
        <v>#REF!</v>
      </c>
      <c r="Q13" s="321">
        <f>DEMONSTRATIVO!G58</f>
        <v>254306.68</v>
      </c>
      <c r="R13" s="320" t="b">
        <f t="shared" si="3"/>
        <v>1</v>
      </c>
      <c r="S13" s="320" t="b">
        <v>1</v>
      </c>
      <c r="T13" s="320" t="b">
        <v>1</v>
      </c>
      <c r="U13" s="320" t="b">
        <v>1</v>
      </c>
      <c r="V13" s="320" t="b">
        <v>1</v>
      </c>
      <c r="W13" s="320" t="b">
        <v>1</v>
      </c>
      <c r="X13" s="320" t="b">
        <v>1</v>
      </c>
    </row>
    <row r="14" spans="1:27" ht="67.5" customHeight="1" x14ac:dyDescent="0.25">
      <c r="A14" s="12" t="s">
        <v>499</v>
      </c>
      <c r="B14" s="341" t="s">
        <v>288</v>
      </c>
      <c r="C14" s="341" t="s">
        <v>590</v>
      </c>
      <c r="D14" s="12" t="s">
        <v>517</v>
      </c>
      <c r="E14" s="12" t="s">
        <v>518</v>
      </c>
      <c r="F14" s="12" t="s">
        <v>25</v>
      </c>
      <c r="G14" s="12"/>
      <c r="H14" s="12" t="s">
        <v>537</v>
      </c>
      <c r="I14" s="13">
        <v>112390</v>
      </c>
      <c r="J14" s="13">
        <v>72526.399999999994</v>
      </c>
      <c r="K14" s="336">
        <f>'Anexo 4. '!F92</f>
        <v>46712.6</v>
      </c>
      <c r="L14" s="285">
        <f t="shared" si="0"/>
        <v>119239</v>
      </c>
      <c r="M14" s="13">
        <f>'Anexo 3. Elemento de Despesas'!O14</f>
        <v>10939</v>
      </c>
      <c r="N14" s="128">
        <f t="shared" si="1"/>
        <v>6849</v>
      </c>
      <c r="O14" s="129">
        <f t="shared" si="2"/>
        <v>6.0939585372364089</v>
      </c>
      <c r="P14" s="359" t="e">
        <f>I14=#REF!</f>
        <v>#REF!</v>
      </c>
      <c r="Q14" s="321">
        <f>DEMONSTRATIVO!G36</f>
        <v>72526.399999999994</v>
      </c>
      <c r="R14" s="320" t="b">
        <f t="shared" si="3"/>
        <v>1</v>
      </c>
      <c r="S14" s="320" t="b">
        <v>1</v>
      </c>
      <c r="T14" s="320" t="b">
        <v>1</v>
      </c>
      <c r="U14" s="320" t="b">
        <v>1</v>
      </c>
      <c r="V14" s="320" t="b">
        <v>1</v>
      </c>
      <c r="W14" s="320" t="b">
        <v>1</v>
      </c>
      <c r="X14" s="320" t="b">
        <v>1</v>
      </c>
    </row>
    <row r="15" spans="1:27" ht="67.5" customHeight="1" x14ac:dyDescent="0.25">
      <c r="A15" s="12" t="s">
        <v>498</v>
      </c>
      <c r="B15" s="341" t="s">
        <v>287</v>
      </c>
      <c r="C15" s="369" t="s">
        <v>591</v>
      </c>
      <c r="D15" s="12" t="s">
        <v>519</v>
      </c>
      <c r="E15" s="12" t="s">
        <v>520</v>
      </c>
      <c r="F15" s="12" t="s">
        <v>22</v>
      </c>
      <c r="G15" s="12"/>
      <c r="H15" s="12" t="s">
        <v>538</v>
      </c>
      <c r="I15" s="13">
        <v>20000</v>
      </c>
      <c r="J15" s="13">
        <v>0</v>
      </c>
      <c r="K15" s="336">
        <f>'Anexo 4. '!F101</f>
        <v>0</v>
      </c>
      <c r="L15" s="285">
        <f t="shared" si="0"/>
        <v>0</v>
      </c>
      <c r="M15" s="13"/>
      <c r="N15" s="128">
        <f t="shared" si="1"/>
        <v>-20000</v>
      </c>
      <c r="O15" s="129">
        <f t="shared" si="2"/>
        <v>-100</v>
      </c>
      <c r="P15" s="359" t="e">
        <f>I15=#REF!</f>
        <v>#REF!</v>
      </c>
      <c r="Q15" s="321">
        <f>DEMONSTRATIVO!G46</f>
        <v>0</v>
      </c>
      <c r="R15" s="320" t="b">
        <f t="shared" si="3"/>
        <v>1</v>
      </c>
      <c r="S15" s="320" t="b">
        <v>1</v>
      </c>
      <c r="T15" s="320" t="b">
        <v>1</v>
      </c>
      <c r="U15" s="320" t="b">
        <v>1</v>
      </c>
      <c r="V15" s="320" t="b">
        <v>1</v>
      </c>
      <c r="W15" s="320" t="b">
        <v>1</v>
      </c>
      <c r="X15" s="320" t="b">
        <v>1</v>
      </c>
    </row>
    <row r="16" spans="1:27" ht="67.5" customHeight="1" x14ac:dyDescent="0.25">
      <c r="A16" s="12" t="s">
        <v>499</v>
      </c>
      <c r="B16" s="341" t="s">
        <v>287</v>
      </c>
      <c r="C16" s="341" t="s">
        <v>590</v>
      </c>
      <c r="D16" s="12" t="s">
        <v>521</v>
      </c>
      <c r="E16" s="12" t="s">
        <v>522</v>
      </c>
      <c r="F16" s="12" t="s">
        <v>30</v>
      </c>
      <c r="G16" s="12"/>
      <c r="H16" s="12" t="s">
        <v>539</v>
      </c>
      <c r="I16" s="13">
        <v>19522.189999999999</v>
      </c>
      <c r="J16" s="13">
        <v>10185.49</v>
      </c>
      <c r="K16" s="336">
        <f>'Anexo 4. '!F110</f>
        <v>9944.48</v>
      </c>
      <c r="L16" s="285">
        <f t="shared" si="0"/>
        <v>20129.97</v>
      </c>
      <c r="M16" s="13"/>
      <c r="N16" s="128">
        <f t="shared" si="1"/>
        <v>607.78000000000247</v>
      </c>
      <c r="O16" s="129">
        <f t="shared" si="2"/>
        <v>3.1132777623822045</v>
      </c>
      <c r="P16" s="359" t="e">
        <f>I16=#REF!</f>
        <v>#REF!</v>
      </c>
      <c r="Q16" s="321">
        <f>DEMONSTRATIVO!G38</f>
        <v>10185.49</v>
      </c>
      <c r="R16" s="320" t="b">
        <f t="shared" si="3"/>
        <v>1</v>
      </c>
      <c r="S16" s="320" t="b">
        <v>1</v>
      </c>
      <c r="T16" s="320" t="b">
        <v>1</v>
      </c>
      <c r="U16" s="320" t="b">
        <v>1</v>
      </c>
      <c r="V16" s="320" t="b">
        <v>1</v>
      </c>
      <c r="W16" s="320" t="b">
        <v>1</v>
      </c>
      <c r="X16" s="320" t="b">
        <v>1</v>
      </c>
    </row>
    <row r="17" spans="1:27" ht="67.5" customHeight="1" x14ac:dyDescent="0.25">
      <c r="A17" s="12" t="s">
        <v>501</v>
      </c>
      <c r="B17" s="341" t="s">
        <v>288</v>
      </c>
      <c r="C17" s="341" t="s">
        <v>590</v>
      </c>
      <c r="D17" s="12" t="s">
        <v>523</v>
      </c>
      <c r="E17" s="12" t="s">
        <v>524</v>
      </c>
      <c r="F17" s="12" t="s">
        <v>26</v>
      </c>
      <c r="G17" s="12"/>
      <c r="H17" s="12" t="s">
        <v>540</v>
      </c>
      <c r="I17" s="13">
        <v>4600</v>
      </c>
      <c r="J17" s="13">
        <v>18913.830000000002</v>
      </c>
      <c r="K17" s="336">
        <f>'Anexo 4. '!F122</f>
        <v>0</v>
      </c>
      <c r="L17" s="285">
        <f t="shared" si="0"/>
        <v>18913.830000000002</v>
      </c>
      <c r="M17" s="13"/>
      <c r="N17" s="128">
        <f t="shared" si="1"/>
        <v>14313.830000000002</v>
      </c>
      <c r="O17" s="129">
        <f t="shared" si="2"/>
        <v>311.17021739130439</v>
      </c>
      <c r="P17" s="359" t="e">
        <f>I17=#REF!</f>
        <v>#REF!</v>
      </c>
      <c r="Q17" s="321">
        <f>DEMONSTRATIVO!G24</f>
        <v>18913.830000000002</v>
      </c>
      <c r="R17" s="320" t="b">
        <f t="shared" si="3"/>
        <v>1</v>
      </c>
      <c r="S17" s="320" t="b">
        <v>1</v>
      </c>
      <c r="T17" s="320" t="b">
        <v>1</v>
      </c>
      <c r="U17" s="320" t="b">
        <v>1</v>
      </c>
      <c r="V17" s="320" t="b">
        <v>1</v>
      </c>
      <c r="W17" s="320" t="b">
        <v>1</v>
      </c>
      <c r="X17" s="320" t="b">
        <v>1</v>
      </c>
    </row>
    <row r="18" spans="1:27" ht="67.5" customHeight="1" x14ac:dyDescent="0.25">
      <c r="A18" s="12" t="s">
        <v>502</v>
      </c>
      <c r="B18" s="341" t="s">
        <v>288</v>
      </c>
      <c r="C18" s="341" t="s">
        <v>590</v>
      </c>
      <c r="D18" s="12" t="s">
        <v>525</v>
      </c>
      <c r="E18" s="12" t="s">
        <v>526</v>
      </c>
      <c r="F18" s="12" t="s">
        <v>29</v>
      </c>
      <c r="G18" s="12"/>
      <c r="H18" s="12" t="s">
        <v>541</v>
      </c>
      <c r="I18" s="13">
        <v>25100</v>
      </c>
      <c r="J18" s="13">
        <v>5407.21</v>
      </c>
      <c r="K18" s="336">
        <f>'Anexo 4. '!F134</f>
        <v>0</v>
      </c>
      <c r="L18" s="285">
        <f t="shared" si="0"/>
        <v>5407.21</v>
      </c>
      <c r="M18" s="13"/>
      <c r="N18" s="128">
        <f t="shared" si="1"/>
        <v>-19692.79</v>
      </c>
      <c r="O18" s="129">
        <f t="shared" si="2"/>
        <v>-78.457330677290841</v>
      </c>
      <c r="P18" s="359" t="e">
        <f>I18=#REF!</f>
        <v>#REF!</v>
      </c>
      <c r="Q18" s="321">
        <f>DEMONSTRATIVO!G20</f>
        <v>5407.21</v>
      </c>
      <c r="R18" s="320" t="b">
        <f t="shared" si="3"/>
        <v>1</v>
      </c>
      <c r="S18" s="320" t="b">
        <v>1</v>
      </c>
      <c r="T18" s="320" t="b">
        <v>1</v>
      </c>
      <c r="U18" s="320" t="b">
        <v>1</v>
      </c>
      <c r="V18" s="320" t="b">
        <v>1</v>
      </c>
      <c r="W18" s="320" t="b">
        <v>1</v>
      </c>
      <c r="X18" s="320" t="b">
        <v>1</v>
      </c>
    </row>
    <row r="19" spans="1:27" ht="67.5" customHeight="1" x14ac:dyDescent="0.25">
      <c r="A19" s="12" t="s">
        <v>498</v>
      </c>
      <c r="B19" s="341" t="s">
        <v>288</v>
      </c>
      <c r="C19" s="341" t="s">
        <v>590</v>
      </c>
      <c r="D19" s="12" t="s">
        <v>527</v>
      </c>
      <c r="E19" s="12" t="s">
        <v>528</v>
      </c>
      <c r="F19" s="12" t="s">
        <v>115</v>
      </c>
      <c r="G19" s="12"/>
      <c r="H19" s="12" t="s">
        <v>542</v>
      </c>
      <c r="I19" s="13">
        <v>55840</v>
      </c>
      <c r="J19" s="13">
        <v>64651.1</v>
      </c>
      <c r="K19" s="336">
        <f>'Anexo 4. '!F149</f>
        <v>9219.130000000001</v>
      </c>
      <c r="L19" s="285">
        <f t="shared" si="0"/>
        <v>73870.23</v>
      </c>
      <c r="M19" s="13"/>
      <c r="N19" s="128">
        <f t="shared" si="1"/>
        <v>18030.229999999996</v>
      </c>
      <c r="O19" s="129">
        <f t="shared" si="2"/>
        <v>32.289093839541536</v>
      </c>
      <c r="P19" s="359" t="e">
        <f>I19=#REF!</f>
        <v>#REF!</v>
      </c>
      <c r="Q19" s="321">
        <f>DEMONSTRATIVO!G48</f>
        <v>64651.1</v>
      </c>
      <c r="R19" s="320" t="b">
        <f t="shared" si="3"/>
        <v>1</v>
      </c>
      <c r="S19" s="320" t="b">
        <v>1</v>
      </c>
      <c r="T19" s="320" t="b">
        <v>1</v>
      </c>
      <c r="U19" s="320" t="b">
        <v>1</v>
      </c>
      <c r="V19" s="320" t="b">
        <v>1</v>
      </c>
      <c r="W19" s="320" t="b">
        <v>1</v>
      </c>
      <c r="X19" s="320" t="b">
        <v>1</v>
      </c>
    </row>
    <row r="20" spans="1:27" ht="67.5" customHeight="1" x14ac:dyDescent="0.25">
      <c r="A20" s="12" t="s">
        <v>503</v>
      </c>
      <c r="B20" s="341" t="s">
        <v>287</v>
      </c>
      <c r="C20" s="369" t="s">
        <v>591</v>
      </c>
      <c r="D20" s="12" t="s">
        <v>529</v>
      </c>
      <c r="E20" s="12" t="s">
        <v>530</v>
      </c>
      <c r="F20" s="12" t="s">
        <v>27</v>
      </c>
      <c r="G20" s="12"/>
      <c r="H20" s="12" t="s">
        <v>543</v>
      </c>
      <c r="I20" s="13">
        <v>32700</v>
      </c>
      <c r="J20" s="13">
        <v>0</v>
      </c>
      <c r="K20" s="336">
        <f>'Anexo 4. '!F162</f>
        <v>0</v>
      </c>
      <c r="L20" s="285">
        <f t="shared" si="0"/>
        <v>0</v>
      </c>
      <c r="M20" s="13"/>
      <c r="N20" s="128">
        <f t="shared" si="1"/>
        <v>-32700</v>
      </c>
      <c r="O20" s="129">
        <f t="shared" si="2"/>
        <v>-100</v>
      </c>
      <c r="P20" s="359" t="e">
        <f>I20=#REF!</f>
        <v>#REF!</v>
      </c>
      <c r="Q20" s="321">
        <f>DEMONSTRATIVO!G28</f>
        <v>0</v>
      </c>
      <c r="R20" s="320" t="b">
        <f t="shared" si="3"/>
        <v>1</v>
      </c>
      <c r="S20" s="320" t="b">
        <v>1</v>
      </c>
      <c r="T20" s="320" t="b">
        <v>1</v>
      </c>
      <c r="U20" s="320" t="b">
        <v>1</v>
      </c>
      <c r="V20" s="320" t="b">
        <v>1</v>
      </c>
      <c r="W20" s="320" t="b">
        <v>1</v>
      </c>
      <c r="X20" s="320" t="b">
        <v>1</v>
      </c>
    </row>
    <row r="21" spans="1:27" ht="27" thickBot="1" x14ac:dyDescent="0.3">
      <c r="A21" s="449" t="s">
        <v>6</v>
      </c>
      <c r="B21" s="450"/>
      <c r="C21" s="450"/>
      <c r="D21" s="450"/>
      <c r="E21" s="450"/>
      <c r="F21" s="450"/>
      <c r="G21" s="450"/>
      <c r="H21" s="451"/>
      <c r="I21" s="130">
        <f>SUM(I7:I20)</f>
        <v>1761859.63</v>
      </c>
      <c r="J21" s="130">
        <f t="shared" ref="J21:N21" si="4">SUM(J7:J20)</f>
        <v>1053340.1199999999</v>
      </c>
      <c r="K21" s="130">
        <f t="shared" si="4"/>
        <v>521496.38999999996</v>
      </c>
      <c r="L21" s="130">
        <f t="shared" si="4"/>
        <v>1574836.51</v>
      </c>
      <c r="M21" s="130">
        <f t="shared" si="4"/>
        <v>37993</v>
      </c>
      <c r="N21" s="130">
        <f t="shared" si="4"/>
        <v>-187023.12</v>
      </c>
      <c r="O21" s="131">
        <f>IFERROR(N21/I21*100,)</f>
        <v>-10.615097639759192</v>
      </c>
      <c r="Q21" s="321">
        <f>DEMONSTRATIVO!G60</f>
        <v>1053340.1200000001</v>
      </c>
      <c r="R21" s="320" t="b">
        <f t="shared" si="3"/>
        <v>1</v>
      </c>
      <c r="S21" s="320" t="b">
        <v>1</v>
      </c>
      <c r="T21" s="320" t="b">
        <v>1</v>
      </c>
      <c r="U21" s="320" t="b">
        <v>1</v>
      </c>
      <c r="V21" s="320" t="b">
        <v>1</v>
      </c>
      <c r="W21" s="320" t="b">
        <v>1</v>
      </c>
      <c r="X21" s="320" t="b">
        <v>1</v>
      </c>
    </row>
    <row r="22" spans="1:27" s="234" customFormat="1" x14ac:dyDescent="0.25">
      <c r="A22" s="448" t="s">
        <v>281</v>
      </c>
      <c r="B22" s="448"/>
      <c r="C22" s="448"/>
      <c r="D22" s="448"/>
      <c r="E22" s="448"/>
      <c r="F22" s="448"/>
      <c r="G22" s="448"/>
      <c r="H22" s="448"/>
      <c r="I22" s="284" t="b">
        <f>I21='Anexo 1. Fontes e Aplicações'!C32</f>
        <v>1</v>
      </c>
      <c r="J22" s="284" t="b">
        <f>J21='Anexo 1. Fontes e Aplicações'!D32</f>
        <v>1</v>
      </c>
      <c r="K22" s="284" t="b">
        <f>K21='Anexo 1. Fontes e Aplicações'!E32</f>
        <v>1</v>
      </c>
      <c r="L22" s="284" t="b">
        <f>L21='Anexo 1. Fontes e Aplicações'!F32</f>
        <v>1</v>
      </c>
      <c r="M22" s="284" t="b">
        <f>M21='Anexo 1. Fontes e Aplicações'!F20</f>
        <v>1</v>
      </c>
      <c r="N22" s="284" t="b">
        <f>N21='Anexo 1. Fontes e Aplicações'!G32</f>
        <v>1</v>
      </c>
      <c r="O22" s="284" t="b">
        <f>O21='Anexo 1. Fontes e Aplicações'!H32</f>
        <v>1</v>
      </c>
      <c r="P22" s="358"/>
      <c r="Q22" s="233"/>
      <c r="R22" s="181"/>
      <c r="S22" s="233"/>
      <c r="T22" s="233"/>
      <c r="U22" s="233"/>
      <c r="V22" s="233"/>
      <c r="W22" s="233"/>
      <c r="X22" s="233"/>
      <c r="Y22" s="362"/>
      <c r="Z22" s="233"/>
      <c r="AA22" s="233"/>
    </row>
    <row r="23" spans="1:27" x14ac:dyDescent="0.25">
      <c r="A23" s="444" t="s">
        <v>219</v>
      </c>
      <c r="B23" s="444"/>
      <c r="C23" s="445"/>
      <c r="D23" s="444"/>
      <c r="E23" s="444"/>
      <c r="F23" s="444"/>
      <c r="G23" s="444"/>
      <c r="H23" s="444"/>
      <c r="I23" s="444"/>
      <c r="J23" s="445"/>
      <c r="K23" s="445"/>
      <c r="L23" s="444"/>
      <c r="M23" s="445"/>
      <c r="N23" s="444"/>
      <c r="O23" s="444"/>
    </row>
    <row r="24" spans="1:27" x14ac:dyDescent="0.25">
      <c r="A24" s="442" t="s">
        <v>681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27" x14ac:dyDescent="0.25">
      <c r="A25" s="441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</row>
  </sheetData>
  <sheetProtection formatCells="0" formatRows="0" insertRows="0" deleteRows="0"/>
  <mergeCells count="22">
    <mergeCell ref="Q6:R6"/>
    <mergeCell ref="D5:D6"/>
    <mergeCell ref="F5:F6"/>
    <mergeCell ref="E5:E6"/>
    <mergeCell ref="A4:O4"/>
    <mergeCell ref="C5:C6"/>
    <mergeCell ref="A1:O1"/>
    <mergeCell ref="A25:O25"/>
    <mergeCell ref="A24:O24"/>
    <mergeCell ref="A23:O23"/>
    <mergeCell ref="I5:I6"/>
    <mergeCell ref="L5:L6"/>
    <mergeCell ref="G5:G6"/>
    <mergeCell ref="A22:H22"/>
    <mergeCell ref="A21:H21"/>
    <mergeCell ref="H5:H6"/>
    <mergeCell ref="J5:K5"/>
    <mergeCell ref="M5:M6"/>
    <mergeCell ref="A2:O2"/>
    <mergeCell ref="N5:O5"/>
    <mergeCell ref="A5:A6"/>
    <mergeCell ref="B5:B6"/>
  </mergeCells>
  <phoneticPr fontId="13" type="noConversion"/>
  <conditionalFormatting sqref="P7:P20">
    <cfRule type="cellIs" dxfId="24" priority="6" operator="equal">
      <formula>TRUE</formula>
    </cfRule>
  </conditionalFormatting>
  <conditionalFormatting sqref="I22:O22">
    <cfRule type="cellIs" dxfId="23" priority="5" operator="equal">
      <formula>TRUE</formula>
    </cfRule>
  </conditionalFormatting>
  <conditionalFormatting sqref="S7:X21">
    <cfRule type="cellIs" dxfId="22" priority="3" operator="equal">
      <formula>TRUE</formula>
    </cfRule>
    <cfRule type="cellIs" dxfId="21" priority="4" operator="equal">
      <formula>FALSE</formula>
    </cfRule>
  </conditionalFormatting>
  <conditionalFormatting sqref="R7:R21">
    <cfRule type="cellIs" dxfId="20" priority="1" operator="equal">
      <formula>TRUE</formula>
    </cfRule>
    <cfRule type="cellIs" dxfId="19" priority="2" operator="equal">
      <formula>FALSE</formula>
    </cfRule>
  </conditionalFormatting>
  <pageMargins left="0.23622047244094491" right="0.23622047244094491" top="0.27" bottom="0.17" header="0.31496062992125984" footer="0.31496062992125984"/>
  <pageSetup paperSize="9" scale="3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'Validação de dados'!$D$1:$D$16</xm:f>
          </x14:formula1>
          <xm:sqref>F7:F20</xm:sqref>
        </x14:dataValidation>
        <x14:dataValidation type="list" allowBlank="1" showInputMessage="1" showErrorMessage="1" xr:uid="{00000000-0002-0000-0300-000001000000}">
          <x14:formula1>
            <xm:f>'Validação de dados'!$A$1:$A$17</xm:f>
          </x14:formula1>
          <xm:sqref>G7:G20</xm:sqref>
        </x14:dataValidation>
        <x14:dataValidation type="list" allowBlank="1" showInputMessage="1" showErrorMessage="1" xr:uid="{00000000-0002-0000-0300-000002000000}">
          <x14:formula1>
            <xm:f>'Validação de dados'!$E$1:$E$6</xm:f>
          </x14:formula1>
          <xm:sqref>B7:B20</xm:sqref>
        </x14:dataValidation>
        <x14:dataValidation type="list" allowBlank="1" showInputMessage="1" showErrorMessage="1" xr:uid="{00000000-0002-0000-0300-000003000000}">
          <x14:formula1>
            <xm:f>'Validação de dados'!$H$1:$H$5</xm:f>
          </x14:formula1>
          <xm:sqref>C7:C20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>
    <tabColor theme="4" tint="0.39997558519241921"/>
    <pageSetUpPr fitToPage="1"/>
  </sheetPr>
  <dimension ref="A1:L59"/>
  <sheetViews>
    <sheetView showGridLines="0" topLeftCell="A13" zoomScale="115" zoomScaleNormal="115" zoomScaleSheetLayoutView="80" workbookViewId="0">
      <selection activeCell="F23" sqref="F23"/>
    </sheetView>
  </sheetViews>
  <sheetFormatPr defaultColWidth="9.140625" defaultRowHeight="15.75" zeroHeight="1" x14ac:dyDescent="0.25"/>
  <cols>
    <col min="1" max="1" width="47" style="136" customWidth="1"/>
    <col min="2" max="2" width="14.7109375" style="136" customWidth="1"/>
    <col min="3" max="3" width="20.85546875" style="136" customWidth="1"/>
    <col min="4" max="8" width="21.42578125" style="136" customWidth="1"/>
    <col min="9" max="9" width="22.140625" style="136" customWidth="1"/>
    <col min="10" max="10" width="14.85546875" style="139" customWidth="1"/>
    <col min="11" max="11" width="14.28515625" style="323" bestFit="1" customWidth="1"/>
    <col min="12" max="12" width="13.5703125" style="365" bestFit="1" customWidth="1"/>
    <col min="13" max="16384" width="9.140625" style="139"/>
  </cols>
  <sheetData>
    <row r="1" spans="1:12" s="140" customFormat="1" ht="33.75" customHeight="1" x14ac:dyDescent="0.25">
      <c r="A1" s="460" t="s">
        <v>586</v>
      </c>
      <c r="B1" s="461"/>
      <c r="C1" s="461"/>
      <c r="D1" s="461"/>
      <c r="E1" s="461"/>
      <c r="F1" s="461"/>
      <c r="G1" s="461"/>
      <c r="H1" s="461"/>
      <c r="I1" s="462"/>
      <c r="K1" s="322"/>
      <c r="L1" s="364"/>
    </row>
    <row r="2" spans="1:12" s="140" customFormat="1" x14ac:dyDescent="0.25">
      <c r="A2" s="483"/>
      <c r="B2" s="483"/>
      <c r="C2" s="483"/>
      <c r="D2" s="483"/>
      <c r="E2" s="483"/>
      <c r="F2" s="483"/>
      <c r="G2" s="483"/>
      <c r="H2" s="138" t="s">
        <v>18</v>
      </c>
      <c r="I2" s="137"/>
      <c r="K2" s="322"/>
      <c r="L2" s="364"/>
    </row>
    <row r="3" spans="1:12" ht="29.25" customHeight="1" thickBot="1" x14ac:dyDescent="0.3">
      <c r="A3" s="463" t="s">
        <v>7</v>
      </c>
      <c r="B3" s="464"/>
      <c r="C3" s="468" t="s">
        <v>575</v>
      </c>
      <c r="D3" s="457" t="s">
        <v>568</v>
      </c>
      <c r="E3" s="458"/>
      <c r="F3" s="459"/>
      <c r="G3" s="446" t="s">
        <v>571</v>
      </c>
      <c r="H3" s="446"/>
      <c r="I3" s="472" t="s">
        <v>576</v>
      </c>
    </row>
    <row r="4" spans="1:12" ht="47.25" x14ac:dyDescent="0.25">
      <c r="A4" s="465"/>
      <c r="B4" s="466"/>
      <c r="C4" s="469"/>
      <c r="D4" s="338" t="s">
        <v>673</v>
      </c>
      <c r="E4" s="372" t="s">
        <v>674</v>
      </c>
      <c r="F4" s="375" t="s">
        <v>577</v>
      </c>
      <c r="G4" s="338" t="s">
        <v>578</v>
      </c>
      <c r="H4" s="274" t="s">
        <v>579</v>
      </c>
      <c r="I4" s="472"/>
    </row>
    <row r="5" spans="1:12" ht="17.25" customHeight="1" x14ac:dyDescent="0.25">
      <c r="A5" s="454" t="s">
        <v>595</v>
      </c>
      <c r="B5" s="454"/>
      <c r="C5" s="203"/>
      <c r="D5" s="203"/>
      <c r="E5" s="203"/>
      <c r="F5" s="376"/>
      <c r="G5" s="200"/>
      <c r="H5" s="177"/>
      <c r="I5" s="177"/>
    </row>
    <row r="6" spans="1:12" ht="17.25" customHeight="1" x14ac:dyDescent="0.25">
      <c r="A6" s="456" t="s">
        <v>8</v>
      </c>
      <c r="B6" s="456"/>
      <c r="C6" s="204">
        <v>1661859.63</v>
      </c>
      <c r="D6" s="288">
        <f>D7+D17+D18+D19</f>
        <v>993426.05</v>
      </c>
      <c r="E6" s="373">
        <f>E7+E17+E18+E19</f>
        <v>543417.46</v>
      </c>
      <c r="F6" s="377">
        <f>F7+F17+F18+F19</f>
        <v>1536843.5100000002</v>
      </c>
      <c r="G6" s="201">
        <f>F6-C6</f>
        <v>-125016.11999999965</v>
      </c>
      <c r="H6" s="132">
        <f>IFERROR(G6/C6*100,)</f>
        <v>-7.5226642336813772</v>
      </c>
      <c r="I6" s="132">
        <f>IFERROR(F6/$F$23*100,0)</f>
        <v>97.587495606131199</v>
      </c>
      <c r="J6" s="283" t="e">
        <f>C6=#REF!</f>
        <v>#REF!</v>
      </c>
      <c r="K6" s="367">
        <f>K7+K17+K18+K19</f>
        <v>1439128.6490324787</v>
      </c>
    </row>
    <row r="7" spans="1:12" ht="17.25" customHeight="1" x14ac:dyDescent="0.25">
      <c r="A7" s="467" t="s">
        <v>76</v>
      </c>
      <c r="B7" s="467"/>
      <c r="C7" s="204">
        <v>1309930.93</v>
      </c>
      <c r="D7" s="288">
        <f>D8+D15+D16</f>
        <v>787509.39</v>
      </c>
      <c r="E7" s="373">
        <f>E8+E15+E16</f>
        <v>433463.12</v>
      </c>
      <c r="F7" s="377">
        <f>F8+F15+F16</f>
        <v>1220972.51</v>
      </c>
      <c r="G7" s="201">
        <f t="shared" ref="G7:G23" si="0">F7-C7</f>
        <v>-88958.419999999925</v>
      </c>
      <c r="H7" s="132">
        <f t="shared" ref="H7:H23" si="1">IFERROR(G7/C7*100,)</f>
        <v>-6.7910771448079279</v>
      </c>
      <c r="I7" s="132">
        <f t="shared" ref="I7:I23" si="2">IFERROR(F7/$F$23*100,0)</f>
        <v>77.530111998736928</v>
      </c>
      <c r="J7" s="283" t="e">
        <f>C7=#REF!</f>
        <v>#REF!</v>
      </c>
      <c r="K7" s="367">
        <f>K8+K15+K16</f>
        <v>1220972.51</v>
      </c>
      <c r="L7" s="365" t="b">
        <f>K7=F7</f>
        <v>1</v>
      </c>
    </row>
    <row r="8" spans="1:12" ht="17.25" customHeight="1" x14ac:dyDescent="0.25">
      <c r="A8" s="467" t="s">
        <v>9</v>
      </c>
      <c r="B8" s="467"/>
      <c r="C8" s="204">
        <v>744604.12</v>
      </c>
      <c r="D8" s="288">
        <f>D9+D12</f>
        <v>416586.54</v>
      </c>
      <c r="E8" s="373">
        <f>E9+E12</f>
        <v>242751.51</v>
      </c>
      <c r="F8" s="377">
        <f>F9+F12</f>
        <v>659338.05000000005</v>
      </c>
      <c r="G8" s="201">
        <f t="shared" si="0"/>
        <v>-85266.069999999949</v>
      </c>
      <c r="H8" s="132">
        <f t="shared" si="1"/>
        <v>-11.451195032334759</v>
      </c>
      <c r="I8" s="132">
        <f t="shared" si="2"/>
        <v>41.867079269072818</v>
      </c>
      <c r="J8" s="283" t="e">
        <f>C8=#REF!</f>
        <v>#REF!</v>
      </c>
      <c r="K8" s="367">
        <f>K9+K12</f>
        <v>659338.05000000005</v>
      </c>
      <c r="L8" s="365" t="b">
        <f t="shared" ref="L8:L16" si="3">K8=F8</f>
        <v>1</v>
      </c>
    </row>
    <row r="9" spans="1:12" ht="17.25" customHeight="1" x14ac:dyDescent="0.25">
      <c r="A9" s="467" t="s">
        <v>10</v>
      </c>
      <c r="B9" s="467"/>
      <c r="C9" s="205">
        <v>641365.22</v>
      </c>
      <c r="D9" s="289">
        <f>SUM(D10:D11)</f>
        <v>385868.77999999997</v>
      </c>
      <c r="E9" s="374">
        <f>SUM(E10:E11)</f>
        <v>187848.08000000002</v>
      </c>
      <c r="F9" s="377">
        <f>SUM(F10:F11)</f>
        <v>573716.86</v>
      </c>
      <c r="G9" s="201">
        <f t="shared" si="0"/>
        <v>-67648.359999999986</v>
      </c>
      <c r="H9" s="132">
        <f t="shared" si="1"/>
        <v>-10.547556663580851</v>
      </c>
      <c r="I9" s="132">
        <f t="shared" si="2"/>
        <v>36.430248877072316</v>
      </c>
      <c r="J9" s="283" t="e">
        <f>C9=#REF!</f>
        <v>#REF!</v>
      </c>
      <c r="K9" s="367">
        <f>K10+K11</f>
        <v>573716.86</v>
      </c>
      <c r="L9" s="365" t="b">
        <f t="shared" si="3"/>
        <v>1</v>
      </c>
    </row>
    <row r="10" spans="1:12" ht="17.25" customHeight="1" x14ac:dyDescent="0.25">
      <c r="A10" s="425" t="s">
        <v>227</v>
      </c>
      <c r="B10" s="425"/>
      <c r="C10" s="206">
        <v>441365.22</v>
      </c>
      <c r="D10" s="290">
        <v>340261.73</v>
      </c>
      <c r="E10" s="290">
        <f>442813.01-D10</f>
        <v>102551.28000000003</v>
      </c>
      <c r="F10" s="377">
        <f>SUM(D10:E10)</f>
        <v>442813.01</v>
      </c>
      <c r="G10" s="201">
        <f t="shared" si="0"/>
        <v>1447.7900000000373</v>
      </c>
      <c r="H10" s="132">
        <f t="shared" si="1"/>
        <v>0.32802539357315857</v>
      </c>
      <c r="I10" s="132">
        <f t="shared" si="2"/>
        <v>28.118030486859869</v>
      </c>
      <c r="J10" s="283" t="e">
        <f>C10=#REF!</f>
        <v>#REF!</v>
      </c>
      <c r="K10" s="367">
        <f>'Diretrizes - Resumo'!AK7</f>
        <v>442813.01</v>
      </c>
      <c r="L10" s="365" t="b">
        <f t="shared" si="3"/>
        <v>1</v>
      </c>
    </row>
    <row r="11" spans="1:12" ht="17.25" customHeight="1" x14ac:dyDescent="0.25">
      <c r="A11" s="425" t="s">
        <v>74</v>
      </c>
      <c r="B11" s="425"/>
      <c r="C11" s="206">
        <v>200000</v>
      </c>
      <c r="D11" s="290">
        <v>45607.05</v>
      </c>
      <c r="E11" s="290">
        <f>130903.85-D11</f>
        <v>85296.8</v>
      </c>
      <c r="F11" s="377">
        <f>SUM(D11:E11)</f>
        <v>130903.85</v>
      </c>
      <c r="G11" s="201">
        <f t="shared" si="0"/>
        <v>-69096.149999999994</v>
      </c>
      <c r="H11" s="132">
        <f t="shared" si="1"/>
        <v>-34.548074999999997</v>
      </c>
      <c r="I11" s="132">
        <f t="shared" si="2"/>
        <v>8.3122183902124522</v>
      </c>
      <c r="J11" s="283" t="e">
        <f>C11=#REF!</f>
        <v>#REF!</v>
      </c>
      <c r="K11" s="367">
        <f>'Diretrizes - Resumo'!AK8</f>
        <v>130903.85</v>
      </c>
      <c r="L11" s="365" t="b">
        <f t="shared" si="3"/>
        <v>1</v>
      </c>
    </row>
    <row r="12" spans="1:12" ht="17.25" customHeight="1" x14ac:dyDescent="0.25">
      <c r="A12" s="467" t="s">
        <v>11</v>
      </c>
      <c r="B12" s="467"/>
      <c r="C12" s="204">
        <v>103238.9</v>
      </c>
      <c r="D12" s="288">
        <f>SUM(D13:D14)</f>
        <v>30717.760000000002</v>
      </c>
      <c r="E12" s="373">
        <f>SUM(E13:E14)</f>
        <v>54903.43</v>
      </c>
      <c r="F12" s="377">
        <f>SUM(F13:F14)</f>
        <v>85621.19</v>
      </c>
      <c r="G12" s="201">
        <f t="shared" si="0"/>
        <v>-17617.709999999992</v>
      </c>
      <c r="H12" s="132">
        <f t="shared" si="1"/>
        <v>-17.064991974924173</v>
      </c>
      <c r="I12" s="132">
        <f t="shared" si="2"/>
        <v>5.4368303920004992</v>
      </c>
      <c r="J12" s="283" t="e">
        <f>C12=#REF!</f>
        <v>#REF!</v>
      </c>
      <c r="K12" s="367">
        <f>K13+K14</f>
        <v>85621.19</v>
      </c>
      <c r="L12" s="365" t="b">
        <f t="shared" si="3"/>
        <v>1</v>
      </c>
    </row>
    <row r="13" spans="1:12" ht="17.25" customHeight="1" x14ac:dyDescent="0.25">
      <c r="A13" s="425" t="s">
        <v>228</v>
      </c>
      <c r="B13" s="425"/>
      <c r="C13" s="207">
        <v>58238.9</v>
      </c>
      <c r="D13" s="291">
        <v>18625.57</v>
      </c>
      <c r="E13" s="291">
        <f>55194.75-D13</f>
        <v>36569.18</v>
      </c>
      <c r="F13" s="377">
        <f>SUM(D13:E13)</f>
        <v>55194.75</v>
      </c>
      <c r="G13" s="201">
        <f t="shared" si="0"/>
        <v>-3044.1500000000015</v>
      </c>
      <c r="H13" s="132">
        <f t="shared" si="1"/>
        <v>-5.2270046309253804</v>
      </c>
      <c r="I13" s="132">
        <f t="shared" si="2"/>
        <v>3.5047923800039404</v>
      </c>
      <c r="J13" s="283" t="e">
        <f>C13=#REF!</f>
        <v>#REF!</v>
      </c>
      <c r="K13" s="367">
        <f>'Diretrizes - Resumo'!AK10</f>
        <v>55194.75</v>
      </c>
      <c r="L13" s="365" t="b">
        <f t="shared" si="3"/>
        <v>1</v>
      </c>
    </row>
    <row r="14" spans="1:12" ht="17.25" customHeight="1" x14ac:dyDescent="0.25">
      <c r="A14" s="425" t="s">
        <v>75</v>
      </c>
      <c r="B14" s="425"/>
      <c r="C14" s="207">
        <v>45000</v>
      </c>
      <c r="D14" s="291">
        <v>12092.19</v>
      </c>
      <c r="E14" s="291">
        <f>30426.44-D14</f>
        <v>18334.25</v>
      </c>
      <c r="F14" s="377">
        <f t="shared" ref="F14:F22" si="4">SUM(D14:E14)</f>
        <v>30426.440000000002</v>
      </c>
      <c r="G14" s="201">
        <f t="shared" si="0"/>
        <v>-14573.559999999998</v>
      </c>
      <c r="H14" s="132">
        <f t="shared" si="1"/>
        <v>-32.385688888888886</v>
      </c>
      <c r="I14" s="132">
        <f t="shared" si="2"/>
        <v>1.9320380119965594</v>
      </c>
      <c r="J14" s="283" t="e">
        <f>C14=#REF!</f>
        <v>#REF!</v>
      </c>
      <c r="K14" s="367">
        <f>'Diretrizes - Resumo'!AK11</f>
        <v>30426.440000000002</v>
      </c>
      <c r="L14" s="365" t="b">
        <f t="shared" si="3"/>
        <v>1</v>
      </c>
    </row>
    <row r="15" spans="1:12" ht="17.25" customHeight="1" x14ac:dyDescent="0.25">
      <c r="A15" s="455" t="s">
        <v>66</v>
      </c>
      <c r="B15" s="455"/>
      <c r="C15" s="208">
        <v>521167.17000000004</v>
      </c>
      <c r="D15" s="292">
        <v>355064.06</v>
      </c>
      <c r="E15" s="292">
        <f>521190.29-D15</f>
        <v>166126.22999999998</v>
      </c>
      <c r="F15" s="377">
        <f t="shared" si="4"/>
        <v>521190.29</v>
      </c>
      <c r="G15" s="201">
        <f t="shared" si="0"/>
        <v>23.119999999937136</v>
      </c>
      <c r="H15" s="132">
        <f t="shared" si="1"/>
        <v>4.4361965470574704E-3</v>
      </c>
      <c r="I15" s="132">
        <f t="shared" si="2"/>
        <v>33.094882337976777</v>
      </c>
      <c r="J15" s="283" t="e">
        <f>C15=#REF!</f>
        <v>#REF!</v>
      </c>
      <c r="K15" s="367">
        <f>'Diretrizes - Resumo'!AK12</f>
        <v>521190.29000000004</v>
      </c>
      <c r="L15" s="365" t="b">
        <f t="shared" si="3"/>
        <v>1</v>
      </c>
    </row>
    <row r="16" spans="1:12" ht="17.25" customHeight="1" x14ac:dyDescent="0.25">
      <c r="A16" s="455" t="s">
        <v>152</v>
      </c>
      <c r="B16" s="455"/>
      <c r="C16" s="208">
        <v>44159.64</v>
      </c>
      <c r="D16" s="292">
        <f>15503.99+354.8</f>
        <v>15858.789999999999</v>
      </c>
      <c r="E16" s="292">
        <f>40444.17-D16</f>
        <v>24585.379999999997</v>
      </c>
      <c r="F16" s="377">
        <f t="shared" si="4"/>
        <v>40444.17</v>
      </c>
      <c r="G16" s="201">
        <f t="shared" si="0"/>
        <v>-3715.4700000000012</v>
      </c>
      <c r="H16" s="132">
        <f t="shared" si="1"/>
        <v>-8.4137234814414281</v>
      </c>
      <c r="I16" s="132">
        <f t="shared" si="2"/>
        <v>2.5681503916873245</v>
      </c>
      <c r="J16" s="283" t="e">
        <f>C16=#REF!</f>
        <v>#REF!</v>
      </c>
      <c r="K16" s="367">
        <f>'Diretrizes - Resumo'!AK13</f>
        <v>40444.17</v>
      </c>
      <c r="L16" s="365" t="b">
        <f t="shared" si="3"/>
        <v>1</v>
      </c>
    </row>
    <row r="17" spans="1:12" ht="17.25" customHeight="1" x14ac:dyDescent="0.25">
      <c r="A17" s="455" t="s">
        <v>12</v>
      </c>
      <c r="B17" s="455"/>
      <c r="C17" s="208">
        <v>25000</v>
      </c>
      <c r="D17" s="292">
        <f>7637.53+20973.24</f>
        <v>28610.77</v>
      </c>
      <c r="E17" s="292">
        <f>39000-D17</f>
        <v>10389.23</v>
      </c>
      <c r="F17" s="377">
        <f t="shared" si="4"/>
        <v>39000</v>
      </c>
      <c r="G17" s="201">
        <f t="shared" si="0"/>
        <v>14000</v>
      </c>
      <c r="H17" s="132">
        <f t="shared" si="1"/>
        <v>56.000000000000007</v>
      </c>
      <c r="I17" s="132">
        <f t="shared" si="2"/>
        <v>2.4764475393067942</v>
      </c>
      <c r="J17" s="283" t="e">
        <f>C17=#REF!</f>
        <v>#REF!</v>
      </c>
    </row>
    <row r="18" spans="1:12" ht="17.25" customHeight="1" x14ac:dyDescent="0.25">
      <c r="A18" s="455" t="s">
        <v>138</v>
      </c>
      <c r="B18" s="455"/>
      <c r="C18" s="209">
        <v>3293.32</v>
      </c>
      <c r="D18" s="293">
        <f>2348.38+2375.34+50.93</f>
        <v>4774.6500000000005</v>
      </c>
      <c r="E18" s="293">
        <f>3293.32-2375.34+68.49</f>
        <v>986.47</v>
      </c>
      <c r="F18" s="377">
        <f>SUM(D18:E18)</f>
        <v>5761.1200000000008</v>
      </c>
      <c r="G18" s="201">
        <f t="shared" si="0"/>
        <v>2467.8000000000006</v>
      </c>
      <c r="H18" s="132">
        <f t="shared" si="1"/>
        <v>74.933501755067851</v>
      </c>
      <c r="I18" s="132">
        <f t="shared" si="2"/>
        <v>0.36582337045259383</v>
      </c>
      <c r="J18" s="283" t="e">
        <f>C18=#REF!</f>
        <v>#REF!</v>
      </c>
      <c r="K18" s="367">
        <f>'Diretrizes - Resumo'!AK15+'Diretrizes - Resumo'!AN8</f>
        <v>3361.8090324785016</v>
      </c>
      <c r="L18" s="365" t="s">
        <v>664</v>
      </c>
    </row>
    <row r="19" spans="1:12" ht="17.25" customHeight="1" x14ac:dyDescent="0.25">
      <c r="A19" s="455" t="s">
        <v>13</v>
      </c>
      <c r="B19" s="455"/>
      <c r="C19" s="209">
        <v>323635.38</v>
      </c>
      <c r="D19" s="293">
        <v>172531.24</v>
      </c>
      <c r="E19" s="371">
        <f>214794.33-D19+50441.05+5874.5</f>
        <v>98578.64</v>
      </c>
      <c r="F19" s="377">
        <f t="shared" si="4"/>
        <v>271109.88</v>
      </c>
      <c r="G19" s="201">
        <f t="shared" si="0"/>
        <v>-52525.5</v>
      </c>
      <c r="H19" s="132">
        <f t="shared" si="1"/>
        <v>-16.229838653610742</v>
      </c>
      <c r="I19" s="132">
        <f t="shared" si="2"/>
        <v>17.215112697634876</v>
      </c>
      <c r="J19" s="283" t="e">
        <f>C19=#REF!</f>
        <v>#REF!</v>
      </c>
      <c r="K19" s="323">
        <f>'Diretrizes - Resumo'!AK16</f>
        <v>214794.33</v>
      </c>
      <c r="L19" s="365" t="b">
        <f>K19=F19</f>
        <v>0</v>
      </c>
    </row>
    <row r="20" spans="1:12" ht="17.25" customHeight="1" x14ac:dyDescent="0.25">
      <c r="A20" s="456" t="s">
        <v>295</v>
      </c>
      <c r="B20" s="456"/>
      <c r="C20" s="204">
        <v>100000</v>
      </c>
      <c r="D20" s="288">
        <f>SUM(D21:D22)</f>
        <v>4668.1000000000004</v>
      </c>
      <c r="E20" s="373">
        <f>SUM(E21:E22)</f>
        <v>33324.9</v>
      </c>
      <c r="F20" s="377">
        <f>SUM(F21:F22)</f>
        <v>37993</v>
      </c>
      <c r="G20" s="201">
        <f t="shared" si="0"/>
        <v>-62007</v>
      </c>
      <c r="H20" s="132">
        <f t="shared" si="1"/>
        <v>-62.006999999999998</v>
      </c>
      <c r="I20" s="132">
        <f t="shared" si="2"/>
        <v>2.4125043938687956</v>
      </c>
      <c r="J20" s="283" t="e">
        <f>C20=#REF!</f>
        <v>#REF!</v>
      </c>
    </row>
    <row r="21" spans="1:12" ht="17.25" customHeight="1" x14ac:dyDescent="0.25">
      <c r="A21" s="455" t="s">
        <v>14</v>
      </c>
      <c r="B21" s="455"/>
      <c r="C21" s="209">
        <v>100000</v>
      </c>
      <c r="D21" s="293">
        <f>2443.1+1286+939</f>
        <v>4668.1000000000004</v>
      </c>
      <c r="E21" s="293">
        <f>3324.9+10000+10000+10000</f>
        <v>33324.9</v>
      </c>
      <c r="F21" s="377">
        <f>SUM(D21:E21)</f>
        <v>37993</v>
      </c>
      <c r="G21" s="201">
        <f t="shared" si="0"/>
        <v>-62007</v>
      </c>
      <c r="H21" s="132">
        <f t="shared" si="1"/>
        <v>-62.006999999999998</v>
      </c>
      <c r="I21" s="132">
        <f t="shared" si="2"/>
        <v>2.4125043938687956</v>
      </c>
      <c r="J21" s="283" t="e">
        <f>C21=#REF!</f>
        <v>#REF!</v>
      </c>
    </row>
    <row r="22" spans="1:12" ht="17.25" customHeight="1" x14ac:dyDescent="0.25">
      <c r="A22" s="455" t="s">
        <v>137</v>
      </c>
      <c r="B22" s="455"/>
      <c r="C22" s="209"/>
      <c r="D22" s="371">
        <v>0</v>
      </c>
      <c r="E22" s="293"/>
      <c r="F22" s="377">
        <f t="shared" si="4"/>
        <v>0</v>
      </c>
      <c r="G22" s="201">
        <f t="shared" si="0"/>
        <v>0</v>
      </c>
      <c r="H22" s="132">
        <f t="shared" si="1"/>
        <v>0</v>
      </c>
      <c r="I22" s="132">
        <f t="shared" si="2"/>
        <v>0</v>
      </c>
      <c r="J22" s="283" t="e">
        <f>C22=#REF!</f>
        <v>#REF!</v>
      </c>
    </row>
    <row r="23" spans="1:12" ht="17.25" customHeight="1" thickBot="1" x14ac:dyDescent="0.3">
      <c r="A23" s="456" t="s">
        <v>15</v>
      </c>
      <c r="B23" s="456"/>
      <c r="C23" s="204">
        <v>1761859.63</v>
      </c>
      <c r="D23" s="288">
        <f>SUM(D6,D20)</f>
        <v>998094.15</v>
      </c>
      <c r="E23" s="373">
        <f>SUM(E6,E20)</f>
        <v>576742.36</v>
      </c>
      <c r="F23" s="378">
        <f>SUM(F6,F20)</f>
        <v>1574836.5100000002</v>
      </c>
      <c r="G23" s="201">
        <f t="shared" si="0"/>
        <v>-187023.11999999965</v>
      </c>
      <c r="H23" s="132">
        <f t="shared" si="1"/>
        <v>-10.615097639759171</v>
      </c>
      <c r="I23" s="132">
        <f t="shared" si="2"/>
        <v>100</v>
      </c>
      <c r="J23" s="283" t="e">
        <f>C23=#REF!</f>
        <v>#REF!</v>
      </c>
    </row>
    <row r="24" spans="1:12" ht="17.25" customHeight="1" thickBot="1" x14ac:dyDescent="0.3">
      <c r="A24" s="454" t="s">
        <v>407</v>
      </c>
      <c r="B24" s="454"/>
      <c r="C24" s="210"/>
      <c r="D24" s="210"/>
      <c r="E24" s="343"/>
      <c r="F24" s="379"/>
      <c r="G24" s="202"/>
      <c r="H24" s="218"/>
      <c r="I24" s="178"/>
      <c r="J24" s="283" t="e">
        <f>C24=#REF!</f>
        <v>#REF!</v>
      </c>
    </row>
    <row r="25" spans="1:12" ht="17.25" customHeight="1" x14ac:dyDescent="0.25">
      <c r="A25" s="467" t="s">
        <v>296</v>
      </c>
      <c r="B25" s="467"/>
      <c r="C25" s="204">
        <v>1643716.75</v>
      </c>
      <c r="D25" s="288">
        <f>SUM(D26:D28)</f>
        <v>981718.88999999978</v>
      </c>
      <c r="E25" s="373">
        <f>SUM(E26:E28)</f>
        <v>484749.67999999993</v>
      </c>
      <c r="F25" s="381">
        <f>SUM(F26:F28)</f>
        <v>1466468.5699999996</v>
      </c>
      <c r="G25" s="201">
        <f t="shared" ref="G25:G33" si="5">F25-C25</f>
        <v>-177248.1800000004</v>
      </c>
      <c r="H25" s="217">
        <f t="shared" ref="H25" si="6">IFERROR(G25/C25*100,)</f>
        <v>-10.783377367177186</v>
      </c>
      <c r="I25" s="132">
        <f t="shared" ref="I25" si="7">IFERROR(F25/$F$32*100,0)</f>
        <v>93.118781580698794</v>
      </c>
      <c r="J25" s="283" t="e">
        <f>C25=#REF!</f>
        <v>#REF!</v>
      </c>
    </row>
    <row r="26" spans="1:12" ht="17.25" customHeight="1" x14ac:dyDescent="0.25">
      <c r="A26" s="467" t="s">
        <v>297</v>
      </c>
      <c r="B26" s="467"/>
      <c r="C26" s="211">
        <v>72222.19</v>
      </c>
      <c r="D26" s="294">
        <f>SUMIF('Quadro Geral'!$B$7:$B$24,"p",'Quadro Geral'!$J$7:$J$24)</f>
        <v>10185.49</v>
      </c>
      <c r="E26" s="295">
        <f>SUMIF('Quadro Geral'!$B$7:$B$24,"p",'Quadro Geral'!$K$7:$K$24)</f>
        <v>9944.48</v>
      </c>
      <c r="F26" s="377">
        <f>D26+E26</f>
        <v>20129.97</v>
      </c>
      <c r="G26" s="201">
        <f t="shared" ref="G26:G32" si="8">F26-C26</f>
        <v>-52092.22</v>
      </c>
      <c r="H26" s="217">
        <f t="shared" ref="H26:H32" si="9">IFERROR(G26/C26*100,)</f>
        <v>-72.127721410829551</v>
      </c>
      <c r="I26" s="132">
        <f t="shared" ref="I26:I32" si="10">IFERROR(F26/$F$32*100,0)</f>
        <v>1.2782260172517848</v>
      </c>
      <c r="J26" s="283" t="e">
        <f>C26=#REF!</f>
        <v>#REF!</v>
      </c>
    </row>
    <row r="27" spans="1:12" ht="17.25" customHeight="1" x14ac:dyDescent="0.25">
      <c r="A27" s="470" t="s">
        <v>298</v>
      </c>
      <c r="B27" s="471"/>
      <c r="C27" s="211">
        <v>0</v>
      </c>
      <c r="D27" s="295">
        <f>SUMIF('Quadro Geral'!$B$7:$B$24,"pe",'Quadro Geral'!$J$7:$J$24)</f>
        <v>0</v>
      </c>
      <c r="E27" s="295">
        <f>SUMIF('Quadro Geral'!$B$7:$B$24,"pe",'Quadro Geral'!$K$7:$K$24)</f>
        <v>0</v>
      </c>
      <c r="F27" s="377">
        <f>D27+E27</f>
        <v>0</v>
      </c>
      <c r="G27" s="201">
        <f t="shared" si="8"/>
        <v>0</v>
      </c>
      <c r="H27" s="217">
        <f t="shared" si="9"/>
        <v>0</v>
      </c>
      <c r="I27" s="132">
        <f t="shared" si="10"/>
        <v>0</v>
      </c>
      <c r="J27" s="283" t="e">
        <f>C27=#REF!</f>
        <v>#REF!</v>
      </c>
    </row>
    <row r="28" spans="1:12" ht="17.25" customHeight="1" x14ac:dyDescent="0.25">
      <c r="A28" s="467" t="s">
        <v>299</v>
      </c>
      <c r="B28" s="467"/>
      <c r="C28" s="211">
        <v>1571494.56</v>
      </c>
      <c r="D28" s="295">
        <f>SUMIF('Quadro Geral'!$B$7:$B$24,"a",'Quadro Geral'!$J$7:$J$24)-D29-D30-D31</f>
        <v>971533.39999999979</v>
      </c>
      <c r="E28" s="295">
        <f>SUMIF('Quadro Geral'!$B$7:$B$24,"a",'Quadro Geral'!$K$7:$K$24)-E29-E30-E31</f>
        <v>474805.19999999995</v>
      </c>
      <c r="F28" s="377">
        <f>D28+E28</f>
        <v>1446338.5999999996</v>
      </c>
      <c r="G28" s="201">
        <f t="shared" si="8"/>
        <v>-125155.96000000043</v>
      </c>
      <c r="H28" s="217">
        <f t="shared" si="9"/>
        <v>-7.9641357460378623</v>
      </c>
      <c r="I28" s="132">
        <f t="shared" si="10"/>
        <v>91.840555563447012</v>
      </c>
      <c r="J28" s="283" t="e">
        <f>C28=#REF!</f>
        <v>#REF!</v>
      </c>
    </row>
    <row r="29" spans="1:12" ht="17.25" customHeight="1" x14ac:dyDescent="0.25">
      <c r="A29" s="455" t="s">
        <v>300</v>
      </c>
      <c r="B29" s="455"/>
      <c r="C29" s="208">
        <v>18619.740000000002</v>
      </c>
      <c r="D29" s="292">
        <f>'Quadro Geral'!J7</f>
        <v>11830.4</v>
      </c>
      <c r="E29" s="292">
        <f>'Quadro Geral'!K7</f>
        <v>3875.41</v>
      </c>
      <c r="F29" s="377">
        <f t="shared" ref="F29:F31" si="11">SUM(D29:E29)</f>
        <v>15705.81</v>
      </c>
      <c r="G29" s="201">
        <f t="shared" si="8"/>
        <v>-2913.9300000000021</v>
      </c>
      <c r="H29" s="217">
        <f t="shared" si="9"/>
        <v>-15.649681467088165</v>
      </c>
      <c r="I29" s="132">
        <f t="shared" si="10"/>
        <v>0.99729780839282167</v>
      </c>
      <c r="J29" s="283" t="e">
        <f>C29=#REF!</f>
        <v>#REF!</v>
      </c>
    </row>
    <row r="30" spans="1:12" ht="17.25" customHeight="1" x14ac:dyDescent="0.25">
      <c r="A30" s="455" t="s">
        <v>301</v>
      </c>
      <c r="B30" s="455"/>
      <c r="C30" s="208">
        <v>89523.14</v>
      </c>
      <c r="D30" s="292">
        <f>'Quadro Geral'!J8+'Quadro Geral'!J9</f>
        <v>59790.829999999994</v>
      </c>
      <c r="E30" s="292">
        <f>'Quadro Geral'!K8+'Quadro Geral'!K9</f>
        <v>30276.020000000011</v>
      </c>
      <c r="F30" s="377">
        <f t="shared" si="11"/>
        <v>90066.85</v>
      </c>
      <c r="G30" s="201">
        <f t="shared" si="8"/>
        <v>543.7100000000064</v>
      </c>
      <c r="H30" s="217">
        <f t="shared" si="9"/>
        <v>0.60734018042710114</v>
      </c>
      <c r="I30" s="132">
        <f t="shared" si="10"/>
        <v>5.7191238219388252</v>
      </c>
      <c r="J30" s="283" t="e">
        <f>C30=#REF!</f>
        <v>#REF!</v>
      </c>
    </row>
    <row r="31" spans="1:12" ht="17.25" customHeight="1" x14ac:dyDescent="0.25">
      <c r="A31" s="455" t="s">
        <v>302</v>
      </c>
      <c r="B31" s="455"/>
      <c r="C31" s="208">
        <v>10000</v>
      </c>
      <c r="D31" s="292">
        <f>'Quadro Geral'!J10</f>
        <v>0</v>
      </c>
      <c r="E31" s="292">
        <f>'Quadro Geral'!K10</f>
        <v>2595.2799999999997</v>
      </c>
      <c r="F31" s="377">
        <f t="shared" si="11"/>
        <v>2595.2799999999997</v>
      </c>
      <c r="G31" s="201">
        <f t="shared" si="8"/>
        <v>-7404.72</v>
      </c>
      <c r="H31" s="217">
        <f t="shared" si="9"/>
        <v>-74.047200000000004</v>
      </c>
      <c r="I31" s="132">
        <f t="shared" si="10"/>
        <v>0.164796788969542</v>
      </c>
      <c r="J31" s="283" t="e">
        <f>C31=#REF!</f>
        <v>#REF!</v>
      </c>
    </row>
    <row r="32" spans="1:12" ht="17.25" customHeight="1" thickBot="1" x14ac:dyDescent="0.3">
      <c r="A32" s="456" t="s">
        <v>16</v>
      </c>
      <c r="B32" s="456"/>
      <c r="C32" s="204">
        <v>1761859.63</v>
      </c>
      <c r="D32" s="288">
        <f>SUM(D25,D29:D31)</f>
        <v>1053340.1199999999</v>
      </c>
      <c r="E32" s="373">
        <f>SUM(E25,E29:E31)</f>
        <v>521496.38999999996</v>
      </c>
      <c r="F32" s="378">
        <f>SUM(F25,F29:F31)</f>
        <v>1574836.5099999998</v>
      </c>
      <c r="G32" s="201">
        <f t="shared" si="8"/>
        <v>-187023.12000000011</v>
      </c>
      <c r="H32" s="217">
        <f t="shared" si="9"/>
        <v>-10.615097639759197</v>
      </c>
      <c r="I32" s="132">
        <f t="shared" si="10"/>
        <v>100</v>
      </c>
      <c r="J32" s="283" t="e">
        <f>C32=#REF!</f>
        <v>#REF!</v>
      </c>
    </row>
    <row r="33" spans="1:12" ht="17.25" customHeight="1" x14ac:dyDescent="0.25">
      <c r="A33" s="484" t="s">
        <v>17</v>
      </c>
      <c r="B33" s="484"/>
      <c r="C33" s="212">
        <v>0</v>
      </c>
      <c r="D33" s="133">
        <f t="shared" ref="D33" si="12">D23-D32</f>
        <v>-55245.969999999856</v>
      </c>
      <c r="E33" s="339">
        <f>E23-E32</f>
        <v>55245.97000000003</v>
      </c>
      <c r="F33" s="380">
        <f>F23-F32</f>
        <v>0</v>
      </c>
      <c r="G33" s="213">
        <f t="shared" si="5"/>
        <v>0</v>
      </c>
      <c r="H33" s="213"/>
      <c r="I33" s="179"/>
    </row>
    <row r="34" spans="1:12" s="236" customFormat="1" x14ac:dyDescent="0.25">
      <c r="A34" s="237"/>
      <c r="B34" s="237"/>
      <c r="C34" s="283" t="b">
        <f>C32='Quadro Geral'!I21</f>
        <v>1</v>
      </c>
      <c r="D34" s="283" t="b">
        <f>D32='Quadro Geral'!J21</f>
        <v>1</v>
      </c>
      <c r="E34" s="283" t="b">
        <f>E32='Quadro Geral'!K21</f>
        <v>1</v>
      </c>
      <c r="F34" s="283" t="b">
        <f>F32='Quadro Geral'!L21</f>
        <v>1</v>
      </c>
      <c r="G34" s="283" t="b">
        <f>G32='Quadro Geral'!N21</f>
        <v>1</v>
      </c>
      <c r="H34" s="237">
        <f>'Quadro Geral'!O21</f>
        <v>-10.615097639759192</v>
      </c>
      <c r="I34" s="238"/>
      <c r="K34" s="324"/>
      <c r="L34" s="366"/>
    </row>
    <row r="35" spans="1:12" ht="15.75" customHeight="1" x14ac:dyDescent="0.25">
      <c r="A35" s="473" t="s">
        <v>594</v>
      </c>
      <c r="B35" s="474"/>
      <c r="C35" s="474"/>
      <c r="D35" s="474"/>
      <c r="E35" s="474"/>
      <c r="F35" s="474"/>
      <c r="G35" s="474"/>
      <c r="H35" s="235"/>
      <c r="I35" s="235"/>
    </row>
    <row r="36" spans="1:12" x14ac:dyDescent="0.25">
      <c r="A36" s="475" t="s">
        <v>68</v>
      </c>
      <c r="B36" s="275"/>
      <c r="C36" s="273" t="s">
        <v>155</v>
      </c>
      <c r="D36" s="276"/>
      <c r="E36" s="275"/>
      <c r="F36" s="260" t="s">
        <v>156</v>
      </c>
      <c r="G36" s="277"/>
    </row>
    <row r="37" spans="1:12" ht="47.25" x14ac:dyDescent="0.25">
      <c r="A37" s="476"/>
      <c r="B37" s="260" t="s">
        <v>666</v>
      </c>
      <c r="C37" s="260" t="s">
        <v>667</v>
      </c>
      <c r="D37" s="260" t="s">
        <v>580</v>
      </c>
      <c r="E37" s="260" t="s">
        <v>581</v>
      </c>
      <c r="F37" s="260" t="s">
        <v>582</v>
      </c>
      <c r="G37" s="260" t="s">
        <v>583</v>
      </c>
      <c r="H37" s="235"/>
      <c r="I37" s="235"/>
    </row>
    <row r="38" spans="1:12" x14ac:dyDescent="0.25">
      <c r="A38" s="180" t="s">
        <v>69</v>
      </c>
      <c r="B38" s="134">
        <f>C6</f>
        <v>1661859.63</v>
      </c>
      <c r="C38" s="278">
        <f>F6</f>
        <v>1536843.5100000002</v>
      </c>
      <c r="D38" s="135">
        <f>IFERROR(C38/B38*100-100,)</f>
        <v>-7.5226642336813825</v>
      </c>
      <c r="E38" s="282">
        <v>1661859.63</v>
      </c>
      <c r="F38" s="278">
        <f>'Anexo 3. Elemento de Despesas'!N21</f>
        <v>1536843.51</v>
      </c>
      <c r="G38" s="135">
        <f t="shared" ref="G38:G40" si="13">IFERROR(F38/E38*100-100,)</f>
        <v>-7.5226642336813825</v>
      </c>
      <c r="H38" s="235"/>
      <c r="I38" s="235"/>
    </row>
    <row r="39" spans="1:12" x14ac:dyDescent="0.25">
      <c r="A39" s="180" t="s">
        <v>70</v>
      </c>
      <c r="B39" s="134">
        <f>C20</f>
        <v>100000</v>
      </c>
      <c r="C39" s="278">
        <f>F20</f>
        <v>37993</v>
      </c>
      <c r="D39" s="135">
        <f>IFERROR(C39/B39*100-100,)</f>
        <v>-62.006999999999998</v>
      </c>
      <c r="E39" s="282">
        <v>100000</v>
      </c>
      <c r="F39" s="278">
        <f>'Anexo 3. Elemento de Despesas'!O21</f>
        <v>37993</v>
      </c>
      <c r="G39" s="135">
        <f t="shared" si="13"/>
        <v>-62.006999999999998</v>
      </c>
      <c r="H39" s="235"/>
      <c r="I39" s="235"/>
    </row>
    <row r="40" spans="1:12" x14ac:dyDescent="0.25">
      <c r="A40" s="261" t="s">
        <v>0</v>
      </c>
      <c r="B40" s="262">
        <f>SUM(B38:B39)</f>
        <v>1761859.63</v>
      </c>
      <c r="C40" s="262">
        <f>SUM(C38:C39)</f>
        <v>1574836.5100000002</v>
      </c>
      <c r="D40" s="263">
        <f>IFERROR(C40/B40*100-100,)</f>
        <v>-10.615097639759171</v>
      </c>
      <c r="E40" s="262">
        <f>SUM(E38:E39)</f>
        <v>1761859.63</v>
      </c>
      <c r="F40" s="262">
        <f>SUM(F38:F39)</f>
        <v>1574836.51</v>
      </c>
      <c r="G40" s="263">
        <f t="shared" si="13"/>
        <v>-10.615097639759185</v>
      </c>
      <c r="H40" s="235"/>
      <c r="I40" s="235"/>
    </row>
    <row r="41" spans="1:12" x14ac:dyDescent="0.25">
      <c r="A41" s="281"/>
      <c r="B41" s="283" t="b">
        <f>B40=E40</f>
        <v>1</v>
      </c>
      <c r="C41" s="283" t="b">
        <f>C40=F40</f>
        <v>1</v>
      </c>
      <c r="D41" s="280"/>
      <c r="E41" s="280"/>
      <c r="F41" s="280"/>
      <c r="G41" s="280"/>
      <c r="H41" s="280"/>
      <c r="I41" s="280"/>
    </row>
    <row r="42" spans="1:12" ht="31.5" x14ac:dyDescent="0.25">
      <c r="A42" s="260" t="s">
        <v>7</v>
      </c>
      <c r="B42" s="260" t="s">
        <v>221</v>
      </c>
      <c r="C42" s="260" t="s">
        <v>222</v>
      </c>
      <c r="E42" s="214"/>
      <c r="G42" s="235"/>
      <c r="H42" s="235"/>
      <c r="I42" s="236"/>
    </row>
    <row r="43" spans="1:12" x14ac:dyDescent="0.25">
      <c r="A43" s="259" t="s">
        <v>107</v>
      </c>
      <c r="B43" s="264">
        <f>F6</f>
        <v>1536843.5100000002</v>
      </c>
      <c r="C43" s="264">
        <f>F20</f>
        <v>37993</v>
      </c>
      <c r="G43" s="235"/>
      <c r="H43" s="235"/>
      <c r="I43" s="236"/>
    </row>
    <row r="44" spans="1:12" x14ac:dyDescent="0.25">
      <c r="A44" s="259" t="s">
        <v>108</v>
      </c>
      <c r="B44" s="264">
        <f>'Anexo 3. Elemento de Despesas'!N21</f>
        <v>1536843.51</v>
      </c>
      <c r="C44" s="264">
        <f>'Anexo 3. Elemento de Despesas'!O21</f>
        <v>37993</v>
      </c>
      <c r="G44" s="235"/>
      <c r="H44" s="235"/>
      <c r="I44" s="236"/>
    </row>
    <row r="45" spans="1:12" x14ac:dyDescent="0.25">
      <c r="A45" s="265" t="s">
        <v>17</v>
      </c>
      <c r="B45" s="266">
        <f>B43-B44</f>
        <v>0</v>
      </c>
      <c r="C45" s="266">
        <f t="shared" ref="C45" si="14">C43-C44</f>
        <v>0</v>
      </c>
      <c r="G45" s="235"/>
      <c r="H45" s="235"/>
      <c r="I45" s="236"/>
    </row>
    <row r="46" spans="1:12" x14ac:dyDescent="0.25"/>
    <row r="47" spans="1:12" ht="18" customHeight="1" x14ac:dyDescent="0.25">
      <c r="A47" s="267" t="s">
        <v>293</v>
      </c>
      <c r="B47" s="267" t="s">
        <v>294</v>
      </c>
    </row>
    <row r="48" spans="1:12" x14ac:dyDescent="0.25">
      <c r="A48" s="267" t="s">
        <v>596</v>
      </c>
      <c r="B48" s="268">
        <v>153232.93</v>
      </c>
      <c r="C48" s="325">
        <f>'Diretrizes - Resumo'!AN9</f>
        <v>153232.93</v>
      </c>
    </row>
    <row r="49" spans="1:9" x14ac:dyDescent="0.25">
      <c r="A49" s="267" t="s">
        <v>283</v>
      </c>
      <c r="B49" s="286">
        <f>'Anexo 3. Elemento de Despesas'!O21</f>
        <v>37993</v>
      </c>
    </row>
    <row r="50" spans="1:9" x14ac:dyDescent="0.25">
      <c r="A50" s="267" t="s">
        <v>284</v>
      </c>
      <c r="B50" s="268"/>
    </row>
    <row r="51" spans="1:9" x14ac:dyDescent="0.25">
      <c r="A51" s="267" t="s">
        <v>285</v>
      </c>
      <c r="B51" s="286">
        <f>B48-B49-B50</f>
        <v>115239.93</v>
      </c>
    </row>
    <row r="52" spans="1:9" x14ac:dyDescent="0.25">
      <c r="A52" s="267" t="s">
        <v>408</v>
      </c>
      <c r="B52" s="287">
        <f>IFERROR(B49/B48,)</f>
        <v>0.24794278879872625</v>
      </c>
    </row>
    <row r="53" spans="1:9" x14ac:dyDescent="0.25">
      <c r="A53" s="267" t="s">
        <v>409</v>
      </c>
      <c r="B53" s="287">
        <f>IFERROR(B50/B48,)</f>
        <v>0</v>
      </c>
    </row>
    <row r="54" spans="1:9" x14ac:dyDescent="0.25">
      <c r="A54" s="269" t="s">
        <v>286</v>
      </c>
      <c r="B54" s="270"/>
    </row>
    <row r="56" spans="1:9" hidden="1" x14ac:dyDescent="0.25">
      <c r="A56" s="477" t="s">
        <v>219</v>
      </c>
      <c r="B56" s="478"/>
      <c r="C56" s="478"/>
      <c r="D56" s="478"/>
      <c r="E56" s="478"/>
      <c r="F56" s="478"/>
      <c r="G56" s="478"/>
      <c r="H56" s="478"/>
      <c r="I56" s="479"/>
    </row>
    <row r="57" spans="1:9" ht="72" hidden="1" customHeight="1" x14ac:dyDescent="0.25">
      <c r="A57" s="480"/>
      <c r="B57" s="481"/>
      <c r="C57" s="481"/>
      <c r="D57" s="481"/>
      <c r="E57" s="481"/>
      <c r="F57" s="481"/>
      <c r="G57" s="481"/>
      <c r="H57" s="481"/>
      <c r="I57" s="482"/>
    </row>
    <row r="58" spans="1:9" x14ac:dyDescent="0.25"/>
    <row r="59" spans="1:9" x14ac:dyDescent="0.25"/>
  </sheetData>
  <mergeCells count="40">
    <mergeCell ref="A35:G35"/>
    <mergeCell ref="A36:A37"/>
    <mergeCell ref="A56:I56"/>
    <mergeCell ref="A57:I57"/>
    <mergeCell ref="A2:G2"/>
    <mergeCell ref="A30:B30"/>
    <mergeCell ref="A21:B21"/>
    <mergeCell ref="A10:B10"/>
    <mergeCell ref="A11:B11"/>
    <mergeCell ref="A12:B12"/>
    <mergeCell ref="A31:B31"/>
    <mergeCell ref="A32:B32"/>
    <mergeCell ref="A33:B33"/>
    <mergeCell ref="A7:B7"/>
    <mergeCell ref="A26:B26"/>
    <mergeCell ref="A28:B28"/>
    <mergeCell ref="A1:I1"/>
    <mergeCell ref="G3:H3"/>
    <mergeCell ref="A29:B29"/>
    <mergeCell ref="A3:B4"/>
    <mergeCell ref="A5:B5"/>
    <mergeCell ref="A22:B22"/>
    <mergeCell ref="A23:B23"/>
    <mergeCell ref="A24:B24"/>
    <mergeCell ref="A25:B25"/>
    <mergeCell ref="C3:C4"/>
    <mergeCell ref="A27:B27"/>
    <mergeCell ref="A15:B15"/>
    <mergeCell ref="A8:B8"/>
    <mergeCell ref="A9:B9"/>
    <mergeCell ref="A6:B6"/>
    <mergeCell ref="I3:I4"/>
    <mergeCell ref="A19:B19"/>
    <mergeCell ref="A20:B20"/>
    <mergeCell ref="D3:F3"/>
    <mergeCell ref="A13:B13"/>
    <mergeCell ref="A14:B14"/>
    <mergeCell ref="A16:B16"/>
    <mergeCell ref="A17:B17"/>
    <mergeCell ref="A18:B18"/>
  </mergeCells>
  <phoneticPr fontId="13" type="noConversion"/>
  <conditionalFormatting sqref="J6:J32">
    <cfRule type="cellIs" dxfId="18" priority="3" operator="equal">
      <formula>TRUE</formula>
    </cfRule>
  </conditionalFormatting>
  <conditionalFormatting sqref="C34:G34">
    <cfRule type="cellIs" dxfId="17" priority="2" operator="equal">
      <formula>TRUE</formula>
    </cfRule>
  </conditionalFormatting>
  <conditionalFormatting sqref="B41:C41">
    <cfRule type="cellIs" dxfId="16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92D050"/>
  </sheetPr>
  <dimension ref="A1:R27"/>
  <sheetViews>
    <sheetView topLeftCell="A7" zoomScale="80" zoomScaleNormal="80" workbookViewId="0">
      <selection activeCell="M12" sqref="M12"/>
    </sheetView>
  </sheetViews>
  <sheetFormatPr defaultColWidth="9.140625" defaultRowHeight="26.25" x14ac:dyDescent="0.4"/>
  <cols>
    <col min="1" max="1" width="7.85546875" style="98" bestFit="1" customWidth="1"/>
    <col min="2" max="2" width="47.5703125" style="98" bestFit="1" customWidth="1"/>
    <col min="3" max="3" width="10.42578125" style="98" bestFit="1" customWidth="1"/>
    <col min="4" max="4" width="23.85546875" style="98" bestFit="1" customWidth="1"/>
    <col min="5" max="5" width="20.140625" style="98" bestFit="1" customWidth="1"/>
    <col min="6" max="6" width="14.42578125" style="98" bestFit="1" customWidth="1"/>
    <col min="7" max="7" width="16.140625" style="331" customWidth="1"/>
    <col min="8" max="8" width="18.42578125" style="331" customWidth="1"/>
    <col min="9" max="9" width="7.85546875" style="98" bestFit="1" customWidth="1"/>
    <col min="10" max="10" width="53" style="98" customWidth="1"/>
    <col min="11" max="11" width="10.42578125" style="98" bestFit="1" customWidth="1"/>
    <col min="12" max="12" width="23.85546875" style="98" bestFit="1" customWidth="1"/>
    <col min="13" max="13" width="20.140625" style="98" bestFit="1" customWidth="1"/>
    <col min="14" max="14" width="16" style="98" customWidth="1"/>
    <col min="15" max="15" width="17.28515625" style="231" customWidth="1"/>
    <col min="16" max="16" width="17.28515625" style="331" customWidth="1"/>
    <col min="17" max="18" width="9.140625" style="141" customWidth="1"/>
    <col min="19" max="16382" width="9.140625" style="141"/>
    <col min="16383" max="16383" width="1.5703125" style="141" customWidth="1"/>
    <col min="16384" max="16384" width="3.85546875" style="141" customWidth="1"/>
  </cols>
  <sheetData>
    <row r="1" spans="1:18" x14ac:dyDescent="0.4">
      <c r="A1" s="402" t="s">
        <v>585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3" spans="1:18" ht="36" customHeight="1" x14ac:dyDescent="0.4">
      <c r="A3" s="485" t="s">
        <v>45</v>
      </c>
      <c r="B3" s="486" t="s">
        <v>46</v>
      </c>
      <c r="C3" s="486"/>
      <c r="D3" s="272" t="s">
        <v>229</v>
      </c>
      <c r="E3" s="272" t="s">
        <v>584</v>
      </c>
      <c r="F3" s="272" t="s">
        <v>51</v>
      </c>
      <c r="G3" s="326"/>
      <c r="H3" s="326"/>
      <c r="I3" s="485" t="s">
        <v>45</v>
      </c>
      <c r="J3" s="486" t="s">
        <v>47</v>
      </c>
      <c r="K3" s="486"/>
      <c r="L3" s="272" t="s">
        <v>229</v>
      </c>
      <c r="M3" s="272" t="s">
        <v>584</v>
      </c>
      <c r="N3" s="272" t="s">
        <v>51</v>
      </c>
    </row>
    <row r="4" spans="1:18" ht="36" customHeight="1" x14ac:dyDescent="0.4">
      <c r="A4" s="485"/>
      <c r="B4" s="488" t="s">
        <v>153</v>
      </c>
      <c r="C4" s="488"/>
      <c r="D4" s="15">
        <f>'Anexo 1. Fontes e Aplicações'!C7</f>
        <v>1309930.93</v>
      </c>
      <c r="E4" s="15">
        <f>'Anexo 1. Fontes e Aplicações'!F7</f>
        <v>1220972.51</v>
      </c>
      <c r="F4" s="16">
        <f>IFERROR(E4/D4*100-100,0)</f>
        <v>-6.7910771448079288</v>
      </c>
      <c r="G4" s="344" t="b">
        <v>1</v>
      </c>
      <c r="H4" s="327">
        <f>'Anexo 1. Fontes e Aplicações'!F7</f>
        <v>1220972.51</v>
      </c>
      <c r="I4" s="487"/>
      <c r="J4" s="489" t="s">
        <v>63</v>
      </c>
      <c r="K4" s="489"/>
      <c r="L4" s="143">
        <v>998560</v>
      </c>
      <c r="M4" s="175">
        <f>'Anexo 3. Elemento de Despesas'!E21</f>
        <v>1004600</v>
      </c>
      <c r="N4" s="16">
        <f>IFERROR(M4/L4*100-100,0)</f>
        <v>0.60487101426053869</v>
      </c>
      <c r="O4" s="344" t="b">
        <v>1</v>
      </c>
      <c r="P4" s="329">
        <f>'Anexo 3. Elemento de Despesas'!E21</f>
        <v>1004600</v>
      </c>
    </row>
    <row r="5" spans="1:18" ht="36" customHeight="1" x14ac:dyDescent="0.4">
      <c r="A5" s="485"/>
      <c r="B5" s="488" t="s">
        <v>48</v>
      </c>
      <c r="C5" s="488"/>
      <c r="D5" s="15">
        <f>'Anexo 1. Fontes e Aplicações'!C19</f>
        <v>323635.38</v>
      </c>
      <c r="E5" s="15">
        <f>'Anexo 1. Fontes e Aplicações'!F19</f>
        <v>271109.88</v>
      </c>
      <c r="F5" s="16">
        <f>IFERROR(E5/D5*100-100,0)</f>
        <v>-16.229838653610742</v>
      </c>
      <c r="G5" s="344" t="b">
        <v>1</v>
      </c>
      <c r="H5" s="327">
        <f>'Anexo 1. Fontes e Aplicações'!F19</f>
        <v>271109.88</v>
      </c>
      <c r="I5" s="487"/>
      <c r="J5" s="489" t="s">
        <v>58</v>
      </c>
      <c r="K5" s="489"/>
      <c r="L5" s="143">
        <v>90000</v>
      </c>
      <c r="M5" s="144">
        <f>'Anexo 4. '!G20+'Anexo 4. '!G21+'Anexo 4. '!G49+'Anexo 4. '!G50+'Anexo 4. '!G66+'Anexo 4. '!G67+'Anexo 4. '!G86+'Anexo 4. '!G87</f>
        <v>89400</v>
      </c>
      <c r="N5" s="16">
        <f>IFERROR(M5/L5*100-100,0)</f>
        <v>-0.6666666666666714</v>
      </c>
      <c r="O5" s="344" t="b">
        <v>1</v>
      </c>
      <c r="P5" s="329">
        <f>M5</f>
        <v>89400</v>
      </c>
    </row>
    <row r="6" spans="1:18" ht="36" customHeight="1" x14ac:dyDescent="0.4">
      <c r="A6" s="485"/>
      <c r="B6" s="490" t="s">
        <v>59</v>
      </c>
      <c r="C6" s="490"/>
      <c r="D6" s="168">
        <f>SUM(D4:D5)</f>
        <v>1633566.31</v>
      </c>
      <c r="E6" s="168">
        <f>SUM(E4:E5)</f>
        <v>1492082.3900000001</v>
      </c>
      <c r="F6" s="169">
        <f>IFERROR(E6/D6*100-100,0)</f>
        <v>-8.6610454154138381</v>
      </c>
      <c r="G6" s="344" t="b">
        <v>1</v>
      </c>
      <c r="H6" s="327">
        <f>H4+H5</f>
        <v>1492082.3900000001</v>
      </c>
      <c r="I6" s="487"/>
      <c r="J6" s="489" t="s">
        <v>60</v>
      </c>
      <c r="K6" s="489"/>
      <c r="L6" s="174">
        <v>1661859.63</v>
      </c>
      <c r="M6" s="175">
        <f>'Anexo 1. Fontes e Aplicações'!F6</f>
        <v>1536843.5100000002</v>
      </c>
      <c r="N6" s="16">
        <f>IFERROR(M6/L6*100-100,0)</f>
        <v>-7.5226642336813825</v>
      </c>
      <c r="O6" s="344" t="b">
        <v>1</v>
      </c>
      <c r="P6" s="329">
        <f>'Anexo 1. Fontes e Aplicações'!F6</f>
        <v>1536843.5100000002</v>
      </c>
    </row>
    <row r="7" spans="1:18" ht="36" customHeight="1" x14ac:dyDescent="0.4">
      <c r="A7" s="485"/>
      <c r="B7" s="488" t="s">
        <v>61</v>
      </c>
      <c r="C7" s="488"/>
      <c r="D7" s="15">
        <f>'Anexo 1. Fontes e Aplicações'!C29</f>
        <v>18619.740000000002</v>
      </c>
      <c r="E7" s="15">
        <f>'Anexo 1. Fontes e Aplicações'!F29</f>
        <v>15705.81</v>
      </c>
      <c r="F7" s="16">
        <f>IFERROR(E7/D7*100-100,0)</f>
        <v>-15.649681467088158</v>
      </c>
      <c r="G7" s="344" t="b">
        <v>1</v>
      </c>
      <c r="H7" s="327">
        <f>'Anexo 1. Fontes e Aplicações'!F29</f>
        <v>15705.81</v>
      </c>
      <c r="I7" s="491"/>
      <c r="J7" s="491"/>
      <c r="K7" s="142"/>
      <c r="L7" s="232" t="b">
        <f>L6='Anexo 1. Fontes e Aplicações'!C6</f>
        <v>1</v>
      </c>
      <c r="M7" s="232" t="b">
        <f>M6='Anexo 1. Fontes e Aplicações'!F6</f>
        <v>1</v>
      </c>
      <c r="N7" s="145"/>
      <c r="O7" s="279"/>
      <c r="P7" s="332"/>
    </row>
    <row r="8" spans="1:18" ht="36" customHeight="1" x14ac:dyDescent="0.4">
      <c r="A8" s="485"/>
      <c r="B8" s="454" t="s">
        <v>71</v>
      </c>
      <c r="C8" s="454"/>
      <c r="D8" s="168">
        <f>D6-D7</f>
        <v>1614946.57</v>
      </c>
      <c r="E8" s="168">
        <f>E6-E7</f>
        <v>1476376.58</v>
      </c>
      <c r="F8" s="169">
        <f>IFERROR(E8/D8*100-100,0)</f>
        <v>-8.5804690120491074</v>
      </c>
      <c r="G8" s="344" t="b">
        <v>1</v>
      </c>
      <c r="H8" s="327">
        <f>H6-H7</f>
        <v>1476376.58</v>
      </c>
      <c r="I8" s="137"/>
      <c r="J8" s="137"/>
      <c r="K8" s="142"/>
      <c r="L8" s="146"/>
      <c r="M8" s="147"/>
      <c r="N8" s="146"/>
      <c r="O8" s="279"/>
      <c r="P8" s="333"/>
    </row>
    <row r="9" spans="1:18" s="151" customFormat="1" ht="36" customHeight="1" x14ac:dyDescent="0.4">
      <c r="A9" s="148"/>
      <c r="B9" s="149"/>
      <c r="C9" s="149"/>
      <c r="D9" s="150"/>
      <c r="E9" s="150"/>
      <c r="F9" s="146"/>
      <c r="G9" s="328"/>
      <c r="H9" s="328"/>
      <c r="I9" s="137"/>
      <c r="J9" s="137"/>
      <c r="K9" s="142"/>
      <c r="L9" s="146"/>
      <c r="M9" s="147"/>
      <c r="N9" s="146"/>
      <c r="O9" s="279"/>
      <c r="P9" s="334"/>
    </row>
    <row r="10" spans="1:18" ht="36" customHeight="1" x14ac:dyDescent="0.4">
      <c r="A10" s="485" t="s">
        <v>67</v>
      </c>
      <c r="B10" s="486" t="s">
        <v>52</v>
      </c>
      <c r="C10" s="486"/>
      <c r="D10" s="230" t="s">
        <v>229</v>
      </c>
      <c r="E10" s="230" t="s">
        <v>584</v>
      </c>
      <c r="F10" s="230" t="s">
        <v>3</v>
      </c>
      <c r="G10" s="328"/>
      <c r="H10" s="328"/>
      <c r="I10" s="486" t="s">
        <v>52</v>
      </c>
      <c r="J10" s="486"/>
      <c r="K10" s="486"/>
      <c r="L10" s="272" t="s">
        <v>229</v>
      </c>
      <c r="M10" s="272" t="s">
        <v>584</v>
      </c>
      <c r="N10" s="272" t="s">
        <v>51</v>
      </c>
      <c r="O10" s="279"/>
      <c r="P10" s="333"/>
    </row>
    <row r="11" spans="1:18" ht="36" customHeight="1" x14ac:dyDescent="0.4">
      <c r="A11" s="485"/>
      <c r="B11" s="499" t="s">
        <v>303</v>
      </c>
      <c r="C11" s="170" t="s">
        <v>49</v>
      </c>
      <c r="D11" s="143">
        <v>463072.41000000003</v>
      </c>
      <c r="E11" s="144">
        <f>'Anexo 4. '!G189+'Anexo 4. '!G77</f>
        <v>450704.64999999997</v>
      </c>
      <c r="F11" s="16">
        <f>IFERROR(E11/D11*100-100,)</f>
        <v>-2.6708047667966355</v>
      </c>
      <c r="G11" s="344" t="b">
        <v>1</v>
      </c>
      <c r="H11" s="329">
        <f>'Matriz de Obj. Estrat.'!J5</f>
        <v>450704.64999999997</v>
      </c>
      <c r="I11" s="501" t="s">
        <v>304</v>
      </c>
      <c r="J11" s="501"/>
      <c r="K11" s="170" t="s">
        <v>49</v>
      </c>
      <c r="L11" s="174">
        <v>908560</v>
      </c>
      <c r="M11" s="175">
        <f>(M4-M5)</f>
        <v>915200</v>
      </c>
      <c r="N11" s="16">
        <f>IFERROR(M11/L11*100-100,0)</f>
        <v>0.73082680285286017</v>
      </c>
      <c r="O11" s="344" t="b">
        <v>1</v>
      </c>
      <c r="P11" s="329">
        <f>P4-P5</f>
        <v>915200</v>
      </c>
      <c r="Q11" s="152"/>
      <c r="R11" s="152"/>
    </row>
    <row r="12" spans="1:18" ht="36" customHeight="1" x14ac:dyDescent="0.4">
      <c r="A12" s="485"/>
      <c r="B12" s="500"/>
      <c r="C12" s="171" t="s">
        <v>50</v>
      </c>
      <c r="D12" s="173">
        <v>0.28674162885772747</v>
      </c>
      <c r="E12" s="173">
        <f>IFERROR(E11/$E$8,0)</f>
        <v>0.30527756678448525</v>
      </c>
      <c r="F12" s="172">
        <f>(E12-D12)*100</f>
        <v>1.8535937926757784</v>
      </c>
      <c r="G12" s="344" t="b">
        <v>1</v>
      </c>
      <c r="H12" s="330"/>
      <c r="I12" s="501"/>
      <c r="J12" s="501"/>
      <c r="K12" s="171" t="s">
        <v>50</v>
      </c>
      <c r="L12" s="176">
        <v>0.54671284120428398</v>
      </c>
      <c r="M12" s="176">
        <f>IFERROR(M11/M6,)</f>
        <v>0.59550630499783275</v>
      </c>
      <c r="N12" s="172">
        <f>(M12-L12)*100</f>
        <v>4.8793463793548764</v>
      </c>
      <c r="O12" s="344" t="b">
        <v>1</v>
      </c>
      <c r="P12" s="370">
        <f>IFERROR(P11/P6,)</f>
        <v>0.59550630499783275</v>
      </c>
      <c r="Q12" s="152"/>
      <c r="R12" s="152"/>
    </row>
    <row r="13" spans="1:18" ht="36" customHeight="1" x14ac:dyDescent="0.4">
      <c r="A13" s="485"/>
      <c r="B13" s="502" t="s">
        <v>305</v>
      </c>
      <c r="C13" s="170" t="s">
        <v>49</v>
      </c>
      <c r="D13" s="143">
        <v>227815.29</v>
      </c>
      <c r="E13" s="144">
        <f>'Anexo 4. '!G180+'Anexo 4. '!G57</f>
        <v>210654.5</v>
      </c>
      <c r="F13" s="16">
        <f>IFERROR(E13/D13*100-100,)</f>
        <v>-7.532764811352223</v>
      </c>
      <c r="G13" s="344" t="b">
        <v>1</v>
      </c>
      <c r="H13" s="329">
        <f>'Matriz de Obj. Estrat.'!J6</f>
        <v>210654.5</v>
      </c>
      <c r="I13" s="498" t="s">
        <v>306</v>
      </c>
      <c r="J13" s="498"/>
      <c r="K13" s="170" t="s">
        <v>49</v>
      </c>
      <c r="L13" s="143">
        <v>19522.189999999999</v>
      </c>
      <c r="M13" s="144">
        <f>'Anexo 4. '!G110</f>
        <v>20129.97</v>
      </c>
      <c r="N13" s="16">
        <f>IFERROR(M13/L13*100-100,0)</f>
        <v>3.1132777623821966</v>
      </c>
      <c r="O13" s="344" t="b">
        <v>1</v>
      </c>
      <c r="P13" s="329">
        <f>SUMIF('Quadro Geral'!$F:$F,'Validação de dados'!D6,'Quadro Geral'!$L:$L)</f>
        <v>20129.97</v>
      </c>
    </row>
    <row r="14" spans="1:18" ht="36" customHeight="1" x14ac:dyDescent="0.4">
      <c r="A14" s="485"/>
      <c r="B14" s="503"/>
      <c r="C14" s="171" t="s">
        <v>50</v>
      </c>
      <c r="D14" s="173">
        <v>0.14106676606644639</v>
      </c>
      <c r="E14" s="173">
        <f>IFERROR(E13/$E$8,0)</f>
        <v>0.14268344733563842</v>
      </c>
      <c r="F14" s="172">
        <f>(E14-D14)*100</f>
        <v>0.16166812691920385</v>
      </c>
      <c r="G14" s="344" t="b">
        <v>1</v>
      </c>
      <c r="H14" s="330"/>
      <c r="I14" s="498"/>
      <c r="J14" s="498"/>
      <c r="K14" s="171" t="s">
        <v>50</v>
      </c>
      <c r="L14" s="176">
        <v>1.9550342493190192E-2</v>
      </c>
      <c r="M14" s="176">
        <f>IFERROR(M13/M4,)</f>
        <v>2.0037796137766278E-2</v>
      </c>
      <c r="N14" s="172">
        <f>(M14-L14)*100</f>
        <v>4.8745364457608575E-2</v>
      </c>
      <c r="O14" s="344" t="b">
        <v>1</v>
      </c>
      <c r="P14" s="368">
        <f>IFERROR(P13/P4,)</f>
        <v>2.0037796137766278E-2</v>
      </c>
    </row>
    <row r="15" spans="1:18" ht="36" customHeight="1" x14ac:dyDescent="0.4">
      <c r="A15" s="485"/>
      <c r="B15" s="498" t="s">
        <v>307</v>
      </c>
      <c r="C15" s="170" t="s">
        <v>49</v>
      </c>
      <c r="D15" s="143">
        <v>112390</v>
      </c>
      <c r="E15" s="144">
        <f>'Anexo 4. '!G92</f>
        <v>119239</v>
      </c>
      <c r="F15" s="16">
        <f>IFERROR(E15/D15*100-100,)</f>
        <v>6.0939585372364036</v>
      </c>
      <c r="G15" s="344" t="b">
        <v>1</v>
      </c>
      <c r="H15" s="329">
        <f>'Matriz de Obj. Estrat.'!J11</f>
        <v>119239</v>
      </c>
      <c r="O15" s="239"/>
    </row>
    <row r="16" spans="1:18" ht="36" customHeight="1" x14ac:dyDescent="0.4">
      <c r="A16" s="485"/>
      <c r="B16" s="498"/>
      <c r="C16" s="171" t="s">
        <v>50</v>
      </c>
      <c r="D16" s="173">
        <v>6.9593633676685654E-2</v>
      </c>
      <c r="E16" s="173">
        <f>IFERROR(E15/$E$8,0)</f>
        <v>8.0764624429357987E-2</v>
      </c>
      <c r="F16" s="172">
        <f>(E16-D16)*100</f>
        <v>1.1170990752672334</v>
      </c>
      <c r="G16" s="344" t="b">
        <v>1</v>
      </c>
      <c r="H16" s="330"/>
      <c r="I16" s="231"/>
      <c r="J16" s="231"/>
      <c r="K16" s="141"/>
      <c r="L16" s="141"/>
      <c r="M16" s="141"/>
      <c r="N16" s="141"/>
      <c r="O16" s="141"/>
      <c r="P16" s="335"/>
    </row>
    <row r="17" spans="1:16" ht="36" customHeight="1" x14ac:dyDescent="0.4">
      <c r="A17" s="485"/>
      <c r="B17" s="498" t="s">
        <v>308</v>
      </c>
      <c r="C17" s="170" t="s">
        <v>49</v>
      </c>
      <c r="D17" s="143">
        <v>20000</v>
      </c>
      <c r="E17" s="144">
        <f>'Anexo 4. '!G101</f>
        <v>0</v>
      </c>
      <c r="F17" s="16">
        <f>IFERROR(E17/D17*100-100,)</f>
        <v>-100</v>
      </c>
      <c r="G17" s="344" t="b">
        <v>1</v>
      </c>
      <c r="H17" s="329">
        <f>'Quadro Geral'!L15</f>
        <v>0</v>
      </c>
      <c r="I17" s="231"/>
      <c r="J17" s="231"/>
      <c r="K17" s="141"/>
      <c r="L17" s="141"/>
      <c r="M17" s="141"/>
      <c r="N17" s="141"/>
      <c r="O17" s="141"/>
      <c r="P17" s="335"/>
    </row>
    <row r="18" spans="1:16" ht="36" customHeight="1" x14ac:dyDescent="0.4">
      <c r="A18" s="485"/>
      <c r="B18" s="498"/>
      <c r="C18" s="171" t="s">
        <v>50</v>
      </c>
      <c r="D18" s="173">
        <v>1.238431064626491E-2</v>
      </c>
      <c r="E18" s="173">
        <f>IFERROR(E17/$E$8,0)</f>
        <v>0</v>
      </c>
      <c r="F18" s="172">
        <f>(E18-D18)*100</f>
        <v>-1.2384310646264911</v>
      </c>
      <c r="G18" s="344" t="b">
        <v>1</v>
      </c>
      <c r="H18" s="330"/>
      <c r="I18" s="231"/>
      <c r="J18" s="231"/>
      <c r="K18" s="141"/>
      <c r="L18" s="141"/>
      <c r="M18" s="141"/>
      <c r="N18" s="141"/>
      <c r="O18" s="141"/>
      <c r="P18" s="335"/>
    </row>
    <row r="19" spans="1:16" ht="36" customHeight="1" x14ac:dyDescent="0.4">
      <c r="A19" s="485"/>
      <c r="B19" s="498" t="s">
        <v>309</v>
      </c>
      <c r="C19" s="170" t="s">
        <v>49</v>
      </c>
      <c r="D19" s="143">
        <v>791722.19</v>
      </c>
      <c r="E19" s="144">
        <f>'Anexo 4. '!G110+'Anexo 4. '!G40</f>
        <v>677745.99999999988</v>
      </c>
      <c r="F19" s="16">
        <f>IFERROR(E19/D19*100-100,)</f>
        <v>-14.395982762589995</v>
      </c>
      <c r="G19" s="344" t="b">
        <v>1</v>
      </c>
      <c r="H19" s="329">
        <f>'Matriz de Obj. Estrat.'!J16+'Matriz de Obj. Estrat.'!J18</f>
        <v>677746</v>
      </c>
      <c r="I19" s="231"/>
      <c r="J19" s="231"/>
      <c r="K19" s="141"/>
      <c r="L19" s="141"/>
      <c r="M19" s="141"/>
      <c r="N19" s="141"/>
      <c r="O19" s="141"/>
      <c r="P19" s="335"/>
    </row>
    <row r="20" spans="1:16" ht="36" customHeight="1" x14ac:dyDescent="0.4">
      <c r="A20" s="485"/>
      <c r="B20" s="498"/>
      <c r="C20" s="171" t="s">
        <v>50</v>
      </c>
      <c r="D20" s="173">
        <v>0.49024667732505844</v>
      </c>
      <c r="E20" s="173">
        <f>IFERROR(E19/$E$8,0)</f>
        <v>0.45906038417379924</v>
      </c>
      <c r="F20" s="172">
        <f>(E20-D20)*100</f>
        <v>-3.1186293151259203</v>
      </c>
      <c r="G20" s="344" t="b">
        <v>1</v>
      </c>
      <c r="H20" s="330"/>
      <c r="I20" s="231"/>
      <c r="J20" s="231"/>
      <c r="K20" s="141"/>
      <c r="L20" s="141"/>
      <c r="M20" s="141"/>
      <c r="N20" s="141"/>
      <c r="O20" s="141"/>
      <c r="P20" s="335"/>
    </row>
    <row r="21" spans="1:16" ht="36" customHeight="1" x14ac:dyDescent="0.4">
      <c r="A21" s="485"/>
      <c r="B21" s="498" t="s">
        <v>310</v>
      </c>
      <c r="C21" s="170" t="s">
        <v>49</v>
      </c>
      <c r="D21" s="143">
        <v>32700</v>
      </c>
      <c r="E21" s="144">
        <f>'Anexo 4. '!G162</f>
        <v>0</v>
      </c>
      <c r="F21" s="16">
        <f>IFERROR(E21/D21*100-100,)</f>
        <v>-100</v>
      </c>
      <c r="G21" s="344" t="b">
        <v>1</v>
      </c>
      <c r="H21" s="329">
        <f>'Quadro Geral'!L20</f>
        <v>0</v>
      </c>
      <c r="I21" s="231"/>
      <c r="J21" s="231"/>
      <c r="K21" s="141"/>
      <c r="L21" s="141"/>
      <c r="M21" s="141"/>
      <c r="N21" s="141"/>
      <c r="O21" s="141"/>
      <c r="P21" s="335"/>
    </row>
    <row r="22" spans="1:16" ht="36" customHeight="1" x14ac:dyDescent="0.4">
      <c r="A22" s="485"/>
      <c r="B22" s="498"/>
      <c r="C22" s="171" t="s">
        <v>50</v>
      </c>
      <c r="D22" s="173">
        <v>2.0248347906643129E-2</v>
      </c>
      <c r="E22" s="173">
        <f>IFERROR(E21/$E$8,0)</f>
        <v>0</v>
      </c>
      <c r="F22" s="172">
        <f>(E22-D22)*100</f>
        <v>-2.0248347906643129</v>
      </c>
      <c r="G22" s="344" t="b">
        <v>1</v>
      </c>
      <c r="H22" s="330"/>
      <c r="I22" s="153"/>
      <c r="J22" s="153"/>
      <c r="K22" s="153"/>
      <c r="L22" s="153"/>
      <c r="M22" s="153"/>
      <c r="N22" s="153"/>
      <c r="O22" s="240"/>
    </row>
    <row r="23" spans="1:16" ht="36" customHeight="1" x14ac:dyDescent="0.4">
      <c r="A23" s="485"/>
      <c r="B23" s="498" t="s">
        <v>311</v>
      </c>
      <c r="C23" s="170" t="s">
        <v>49</v>
      </c>
      <c r="D23" s="182">
        <f>'Anexo 1. Fontes e Aplicações'!C31</f>
        <v>10000</v>
      </c>
      <c r="E23" s="182">
        <f>'Anexo 1. Fontes e Aplicações'!F31</f>
        <v>2595.2799999999997</v>
      </c>
      <c r="F23" s="16">
        <f>IFERROR(E23/D23*100-100,)</f>
        <v>-74.047200000000004</v>
      </c>
      <c r="G23" s="344" t="b">
        <v>1</v>
      </c>
      <c r="H23" s="329">
        <f>'Quadro Geral'!L10</f>
        <v>2595.2799999999997</v>
      </c>
      <c r="I23" s="153"/>
      <c r="J23" s="153"/>
      <c r="K23" s="153"/>
      <c r="L23" s="153"/>
      <c r="M23" s="153"/>
      <c r="N23" s="153"/>
      <c r="O23" s="240"/>
    </row>
    <row r="24" spans="1:16" ht="36" customHeight="1" x14ac:dyDescent="0.4">
      <c r="A24" s="485"/>
      <c r="B24" s="498"/>
      <c r="C24" s="171" t="s">
        <v>50</v>
      </c>
      <c r="D24" s="173">
        <v>6.1921553231324552E-3</v>
      </c>
      <c r="E24" s="173">
        <f>IFERROR(E23/$E$8,0)</f>
        <v>1.7578712878254948E-3</v>
      </c>
      <c r="F24" s="172">
        <f>(E24-D24)*100</f>
        <v>-0.44342840353069607</v>
      </c>
      <c r="G24" s="344" t="b">
        <v>1</v>
      </c>
      <c r="H24" s="330"/>
      <c r="I24" s="153"/>
      <c r="J24" s="153"/>
      <c r="K24" s="153"/>
      <c r="L24" s="153"/>
      <c r="M24" s="153"/>
      <c r="N24" s="153"/>
      <c r="O24" s="240"/>
    </row>
    <row r="25" spans="1:16" ht="27" thickBot="1" x14ac:dyDescent="0.45">
      <c r="B25" s="127"/>
      <c r="I25" s="153"/>
      <c r="J25" s="153"/>
      <c r="K25" s="153"/>
      <c r="L25" s="153"/>
      <c r="M25" s="153"/>
      <c r="N25" s="153"/>
      <c r="O25" s="240"/>
    </row>
    <row r="26" spans="1:16" x14ac:dyDescent="0.4">
      <c r="A26" s="492" t="s">
        <v>627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4"/>
    </row>
    <row r="27" spans="1:16" ht="27" customHeight="1" thickBot="1" x14ac:dyDescent="0.45">
      <c r="A27" s="495" t="s">
        <v>683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7"/>
    </row>
  </sheetData>
  <sheetProtection selectLockedCells="1"/>
  <mergeCells count="28">
    <mergeCell ref="A26:P26"/>
    <mergeCell ref="A27:P27"/>
    <mergeCell ref="A10:A24"/>
    <mergeCell ref="I13:J14"/>
    <mergeCell ref="B15:B16"/>
    <mergeCell ref="B10:C10"/>
    <mergeCell ref="I10:K10"/>
    <mergeCell ref="B11:B12"/>
    <mergeCell ref="I11:J12"/>
    <mergeCell ref="B13:B14"/>
    <mergeCell ref="B21:B22"/>
    <mergeCell ref="B19:B20"/>
    <mergeCell ref="B23:B24"/>
    <mergeCell ref="B17:B18"/>
    <mergeCell ref="A1:N1"/>
    <mergeCell ref="B8:C8"/>
    <mergeCell ref="A3:A8"/>
    <mergeCell ref="B3:C3"/>
    <mergeCell ref="I3:I6"/>
    <mergeCell ref="J3:K3"/>
    <mergeCell ref="B4:C4"/>
    <mergeCell ref="J4:K4"/>
    <mergeCell ref="B5:C5"/>
    <mergeCell ref="J5:K5"/>
    <mergeCell ref="B6:C6"/>
    <mergeCell ref="J6:K6"/>
    <mergeCell ref="B7:C7"/>
    <mergeCell ref="I7:J7"/>
  </mergeCells>
  <phoneticPr fontId="13" type="noConversion"/>
  <conditionalFormatting sqref="G4:G8">
    <cfRule type="cellIs" dxfId="15" priority="9" operator="equal">
      <formula>TRUE</formula>
    </cfRule>
  </conditionalFormatting>
  <conditionalFormatting sqref="L7:M7">
    <cfRule type="cellIs" dxfId="14" priority="5" operator="equal">
      <formula>TRUE</formula>
    </cfRule>
  </conditionalFormatting>
  <conditionalFormatting sqref="G11:G24">
    <cfRule type="cellIs" dxfId="13" priority="4" operator="equal">
      <formula>TRUE</formula>
    </cfRule>
  </conditionalFormatting>
  <conditionalFormatting sqref="O4">
    <cfRule type="cellIs" dxfId="12" priority="3" operator="equal">
      <formula>TRUE</formula>
    </cfRule>
  </conditionalFormatting>
  <conditionalFormatting sqref="O5:O6">
    <cfRule type="cellIs" dxfId="11" priority="2" operator="equal">
      <formula>TRUE</formula>
    </cfRule>
  </conditionalFormatting>
  <conditionalFormatting sqref="O11:O14">
    <cfRule type="cellIs" dxfId="10" priority="1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8">
    <tabColor rgb="FF92D050"/>
  </sheetPr>
  <dimension ref="A1:XFC25"/>
  <sheetViews>
    <sheetView showGridLines="0" zoomScale="75" zoomScaleNormal="75" workbookViewId="0">
      <selection activeCell="J11" sqref="J11"/>
    </sheetView>
  </sheetViews>
  <sheetFormatPr defaultColWidth="0" defaultRowHeight="26.25" zeroHeight="1" x14ac:dyDescent="0.4"/>
  <cols>
    <col min="1" max="1" width="39.5703125" style="122" customWidth="1"/>
    <col min="2" max="2" width="50.28515625" style="122" customWidth="1"/>
    <col min="3" max="3" width="16.85546875" style="122" customWidth="1"/>
    <col min="4" max="4" width="5.85546875" style="122" customWidth="1"/>
    <col min="5" max="10" width="15.28515625" style="122" customWidth="1"/>
    <col min="11" max="11" width="16.7109375" style="122" customWidth="1"/>
    <col min="12" max="16" width="15.28515625" style="122" customWidth="1"/>
    <col min="17" max="17" width="8" style="122" bestFit="1" customWidth="1"/>
    <col min="18" max="18" width="14.28515625" style="231" bestFit="1" customWidth="1"/>
    <col min="19" max="19" width="16.42578125" style="231" hidden="1" customWidth="1"/>
    <col min="20" max="20" width="10.28515625" style="231" hidden="1" customWidth="1"/>
    <col min="21" max="21" width="12" style="246" customWidth="1"/>
    <col min="22" max="16383" width="16.42578125" style="246" hidden="1"/>
    <col min="16384" max="16384" width="1" style="246" customWidth="1"/>
  </cols>
  <sheetData>
    <row r="1" spans="1:27" s="244" customFormat="1" x14ac:dyDescent="0.25">
      <c r="A1" s="154" t="s">
        <v>220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241"/>
      <c r="S1" s="241"/>
      <c r="T1" s="242"/>
      <c r="U1" s="243"/>
    </row>
    <row r="2" spans="1:27" x14ac:dyDescent="0.4">
      <c r="A2" s="402" t="s">
        <v>598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T2" s="245"/>
    </row>
    <row r="3" spans="1:27" x14ac:dyDescent="0.4">
      <c r="A3" s="515" t="s">
        <v>587</v>
      </c>
      <c r="B3" s="516"/>
      <c r="C3" s="516"/>
      <c r="D3" s="516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2"/>
      <c r="T3" s="245"/>
    </row>
    <row r="4" spans="1:27" x14ac:dyDescent="0.4">
      <c r="A4" s="155"/>
      <c r="B4" s="155"/>
      <c r="C4" s="155"/>
      <c r="D4" s="155"/>
      <c r="E4" s="155"/>
      <c r="F4" s="155"/>
    </row>
    <row r="5" spans="1:27" s="248" customFormat="1" ht="25.5" customHeight="1" x14ac:dyDescent="0.25">
      <c r="A5" s="403" t="s">
        <v>4</v>
      </c>
      <c r="B5" s="403" t="s">
        <v>35</v>
      </c>
      <c r="C5" s="403" t="s">
        <v>568</v>
      </c>
      <c r="D5" s="156"/>
      <c r="E5" s="514" t="s">
        <v>1</v>
      </c>
      <c r="F5" s="514"/>
      <c r="G5" s="512" t="s">
        <v>36</v>
      </c>
      <c r="H5" s="507" t="s">
        <v>37</v>
      </c>
      <c r="I5" s="508"/>
      <c r="J5" s="508"/>
      <c r="K5" s="509" t="s">
        <v>135</v>
      </c>
      <c r="L5" s="509" t="s">
        <v>154</v>
      </c>
      <c r="M5" s="509" t="s">
        <v>38</v>
      </c>
      <c r="N5" s="509" t="s">
        <v>39</v>
      </c>
      <c r="O5" s="403" t="s">
        <v>2</v>
      </c>
      <c r="P5" s="514" t="s">
        <v>0</v>
      </c>
      <c r="Q5" s="514" t="s">
        <v>40</v>
      </c>
      <c r="R5" s="504"/>
      <c r="S5" s="247"/>
      <c r="T5" s="242"/>
    </row>
    <row r="6" spans="1:27" s="248" customFormat="1" ht="42" customHeight="1" x14ac:dyDescent="0.25">
      <c r="A6" s="403"/>
      <c r="B6" s="403"/>
      <c r="C6" s="403"/>
      <c r="D6" s="156"/>
      <c r="E6" s="219" t="s">
        <v>62</v>
      </c>
      <c r="F6" s="219" t="s">
        <v>41</v>
      </c>
      <c r="G6" s="513"/>
      <c r="H6" s="219" t="s">
        <v>41</v>
      </c>
      <c r="I6" s="219" t="s">
        <v>42</v>
      </c>
      <c r="J6" s="219" t="s">
        <v>43</v>
      </c>
      <c r="K6" s="509"/>
      <c r="L6" s="509"/>
      <c r="M6" s="509"/>
      <c r="N6" s="509"/>
      <c r="O6" s="403"/>
      <c r="P6" s="514"/>
      <c r="Q6" s="514"/>
      <c r="R6" s="504"/>
      <c r="S6" s="234"/>
      <c r="T6" s="233" t="s">
        <v>410</v>
      </c>
      <c r="U6" s="233" t="s">
        <v>411</v>
      </c>
      <c r="V6" s="234"/>
      <c r="W6" s="234"/>
      <c r="X6" s="234"/>
      <c r="Y6" s="234"/>
      <c r="Z6" s="234"/>
      <c r="AA6" s="234"/>
    </row>
    <row r="7" spans="1:27" ht="53.25" customHeight="1" x14ac:dyDescent="0.4">
      <c r="A7" s="160" t="str">
        <f>'Quadro Geral'!A7</f>
        <v>Presidência</v>
      </c>
      <c r="B7" s="161" t="str">
        <f>'Quadro Geral'!D7</f>
        <v>Contribuição ao fundo nacional de apoio aos CAU/Ufs</v>
      </c>
      <c r="C7" s="162">
        <f>'Quadro Geral'!L7</f>
        <v>15705.81</v>
      </c>
      <c r="D7" s="156"/>
      <c r="E7" s="157"/>
      <c r="F7" s="157"/>
      <c r="G7" s="157"/>
      <c r="H7" s="157"/>
      <c r="I7" s="157"/>
      <c r="J7" s="157"/>
      <c r="K7" s="157">
        <f>'Anexo 4. '!G171</f>
        <v>15705.81</v>
      </c>
      <c r="L7" s="257"/>
      <c r="M7" s="157"/>
      <c r="N7" s="166">
        <f t="shared" ref="N7" si="0">SUM(E7:M7)</f>
        <v>15705.81</v>
      </c>
      <c r="O7" s="157"/>
      <c r="P7" s="166">
        <f>N7+O7</f>
        <v>15705.81</v>
      </c>
      <c r="Q7" s="167">
        <f t="shared" ref="Q7" si="1">IFERROR(P7/$P$21*100,0)</f>
        <v>0.99729780839282167</v>
      </c>
      <c r="R7" s="232" t="b">
        <f t="shared" ref="R7:R20" si="2">C7=P7</f>
        <v>1</v>
      </c>
      <c r="S7" s="249"/>
      <c r="T7" s="231" t="str">
        <f>'Quadro Geral'!B7</f>
        <v>A</v>
      </c>
      <c r="U7" s="231" t="str">
        <f>'Quadro Geral'!F7</f>
        <v>Assegurar a sustentabilidade financeira</v>
      </c>
    </row>
    <row r="8" spans="1:27" ht="53.25" customHeight="1" x14ac:dyDescent="0.4">
      <c r="A8" s="160" t="str">
        <f>'Quadro Geral'!A8</f>
        <v>Presidência</v>
      </c>
      <c r="B8" s="161" t="str">
        <f>'Quadro Geral'!D8</f>
        <v>Contribuição com as despesas do CSC-atendimento</v>
      </c>
      <c r="C8" s="162">
        <f>'Quadro Geral'!L8</f>
        <v>10130.86</v>
      </c>
      <c r="D8" s="156"/>
      <c r="E8" s="157"/>
      <c r="F8" s="157"/>
      <c r="G8" s="157"/>
      <c r="H8" s="157"/>
      <c r="I8" s="157"/>
      <c r="J8" s="157"/>
      <c r="K8" s="157">
        <f>'Anexo 4. '!G180</f>
        <v>10130.86</v>
      </c>
      <c r="L8" s="257"/>
      <c r="M8" s="157"/>
      <c r="N8" s="166">
        <f t="shared" ref="N8:N20" si="3">SUM(E8:M8)</f>
        <v>10130.86</v>
      </c>
      <c r="O8" s="157"/>
      <c r="P8" s="166">
        <f t="shared" ref="P8:P20" si="4">N8+O8</f>
        <v>10130.86</v>
      </c>
      <c r="Q8" s="167">
        <f t="shared" ref="Q8:Q20" si="5">IFERROR(P8/$P$21*100,0)</f>
        <v>0.64329598251440079</v>
      </c>
      <c r="R8" s="232" t="b">
        <f t="shared" si="2"/>
        <v>1</v>
      </c>
      <c r="S8" s="249"/>
      <c r="T8" s="231" t="str">
        <f>'Quadro Geral'!B8</f>
        <v>A</v>
      </c>
      <c r="U8" s="231" t="str">
        <f>'Quadro Geral'!F8</f>
        <v>Assegurar a eficácia no atendimento e no relacionamento com os Arquitetos e Urbanistas e a Sociedade</v>
      </c>
    </row>
    <row r="9" spans="1:27" ht="53.25" customHeight="1" x14ac:dyDescent="0.4">
      <c r="A9" s="160" t="str">
        <f>'Quadro Geral'!A9</f>
        <v>Presidência</v>
      </c>
      <c r="B9" s="161" t="str">
        <f>'Quadro Geral'!D9</f>
        <v>Contribuição com as despesas do CSC-fiscalização</v>
      </c>
      <c r="C9" s="162">
        <f>'Quadro Geral'!L9</f>
        <v>79935.990000000005</v>
      </c>
      <c r="D9" s="156"/>
      <c r="E9" s="157"/>
      <c r="F9" s="157"/>
      <c r="G9" s="157"/>
      <c r="H9" s="157"/>
      <c r="I9" s="157"/>
      <c r="J9" s="157"/>
      <c r="K9" s="157">
        <f>'Anexo 4. '!G189</f>
        <v>79935.990000000005</v>
      </c>
      <c r="L9" s="257"/>
      <c r="M9" s="157"/>
      <c r="N9" s="166">
        <f t="shared" si="3"/>
        <v>79935.990000000005</v>
      </c>
      <c r="O9" s="157"/>
      <c r="P9" s="166">
        <f t="shared" si="4"/>
        <v>79935.990000000005</v>
      </c>
      <c r="Q9" s="167">
        <f t="shared" si="5"/>
        <v>5.0758278394244236</v>
      </c>
      <c r="R9" s="232" t="b">
        <f t="shared" si="2"/>
        <v>1</v>
      </c>
      <c r="S9" s="249"/>
      <c r="T9" s="231" t="str">
        <f>'Quadro Geral'!B9</f>
        <v>A</v>
      </c>
      <c r="U9" s="231" t="str">
        <f>'Quadro Geral'!F9</f>
        <v>Tornar a fiscalização um vetor de melhoria do exercício da Arquitetura e Urbanismo</v>
      </c>
    </row>
    <row r="10" spans="1:27" ht="53.25" customHeight="1" x14ac:dyDescent="0.4">
      <c r="A10" s="160" t="str">
        <f>'Quadro Geral'!A10</f>
        <v>Presidência</v>
      </c>
      <c r="B10" s="161" t="str">
        <f>'Quadro Geral'!D10</f>
        <v>Reserva de contingência</v>
      </c>
      <c r="C10" s="162">
        <f>'Quadro Geral'!L10</f>
        <v>2595.2799999999997</v>
      </c>
      <c r="D10" s="156"/>
      <c r="E10" s="157"/>
      <c r="F10" s="157"/>
      <c r="G10" s="157"/>
      <c r="H10" s="157"/>
      <c r="I10" s="157"/>
      <c r="J10" s="157"/>
      <c r="K10" s="257"/>
      <c r="L10" s="157">
        <f>'Anexo 4. '!G198</f>
        <v>2595.2799999999997</v>
      </c>
      <c r="M10" s="157"/>
      <c r="N10" s="166">
        <f t="shared" si="3"/>
        <v>2595.2799999999997</v>
      </c>
      <c r="O10" s="157"/>
      <c r="P10" s="166">
        <f t="shared" si="4"/>
        <v>2595.2799999999997</v>
      </c>
      <c r="Q10" s="167">
        <f t="shared" si="5"/>
        <v>0.16479678896954197</v>
      </c>
      <c r="R10" s="232" t="b">
        <f t="shared" si="2"/>
        <v>1</v>
      </c>
      <c r="S10" s="249"/>
      <c r="T10" s="231" t="str">
        <f>'Quadro Geral'!B10</f>
        <v>A</v>
      </c>
      <c r="U10" s="231" t="str">
        <f>'Quadro Geral'!F10</f>
        <v>Assegurar a sustentabilidade financeira</v>
      </c>
    </row>
    <row r="11" spans="1:27" ht="53.25" customHeight="1" x14ac:dyDescent="0.4">
      <c r="A11" s="160" t="str">
        <f>'Quadro Geral'!A11</f>
        <v>Gerência Geral</v>
      </c>
      <c r="B11" s="161" t="str">
        <f>'Quadro Geral'!D11</f>
        <v>Estrutura básica para o funcionamento do conselho</v>
      </c>
      <c r="C11" s="162">
        <f>'Quadro Geral'!L11</f>
        <v>657616.03</v>
      </c>
      <c r="D11" s="156"/>
      <c r="E11" s="157">
        <f>'Anexo 4. '!G19+'Anexo 4. '!G20+'Anexo 4. '!G21</f>
        <v>417500</v>
      </c>
      <c r="F11" s="157"/>
      <c r="G11" s="157">
        <f>'Anexo 4. '!G23</f>
        <v>6429.86</v>
      </c>
      <c r="H11" s="157"/>
      <c r="I11" s="157"/>
      <c r="J11" s="157">
        <f>'Anexo 4. '!G9+'Anexo 4. '!G10+'Anexo 4. '!G11+'Anexo 4. '!G12+'Anexo 4. '!G13+'Anexo 4. '!G14+'Anexo 4. '!G15+'Anexo 4. '!G18+'Anexo 4. '!G22+'Anexo 4. '!G24+'Anexo 4. '!G25+'Anexo 4. '!G26+'Anexo 4. '!G27+'Anexo 4. '!G28+'Anexo 4. '!G29+'Anexo 4. '!G30+'Anexo 4. '!G31+'Anexo 4. '!G32+'Anexo 4. '!G33+'Anexo 4. '!G35+'Anexo 4. '!G36+'Anexo 4. '!G38</f>
        <v>188800.16999999998</v>
      </c>
      <c r="K11" s="157"/>
      <c r="L11" s="157"/>
      <c r="M11" s="157">
        <f>'Anexo 4. '!G16+'Anexo 4. '!G17</f>
        <v>23600</v>
      </c>
      <c r="N11" s="166">
        <f t="shared" si="3"/>
        <v>636330.03</v>
      </c>
      <c r="O11" s="157">
        <f>'Anexo 4. '!G37+'Anexo 4. '!G39</f>
        <v>21286</v>
      </c>
      <c r="P11" s="166">
        <f t="shared" si="4"/>
        <v>657616.03</v>
      </c>
      <c r="Q11" s="167">
        <f t="shared" si="5"/>
        <v>41.757733315441108</v>
      </c>
      <c r="R11" s="283" t="b">
        <f t="shared" si="2"/>
        <v>1</v>
      </c>
      <c r="S11" s="249"/>
      <c r="T11" s="231" t="str">
        <f>'Quadro Geral'!B11</f>
        <v>A</v>
      </c>
      <c r="U11" s="231" t="str">
        <f>'Quadro Geral'!F11</f>
        <v>Ter sistemas de informação e infraestrutura que viabilizem a gestão e o atendimento dos arquitetos e urbanistas e a sociedade</v>
      </c>
    </row>
    <row r="12" spans="1:27" ht="53.25" customHeight="1" x14ac:dyDescent="0.4">
      <c r="A12" s="160" t="str">
        <f>'Quadro Geral'!A12</f>
        <v>Gerência Técnica</v>
      </c>
      <c r="B12" s="161" t="str">
        <f>'Quadro Geral'!D12</f>
        <v>Atendimento de excelência no CAU/PI</v>
      </c>
      <c r="C12" s="162">
        <f>'Quadro Geral'!L12</f>
        <v>200523.64</v>
      </c>
      <c r="D12" s="156"/>
      <c r="E12" s="157">
        <f>'Anexo 4. '!G48+'Anexo 4. '!G49+'Anexo 4. '!G50</f>
        <v>172500</v>
      </c>
      <c r="F12" s="157"/>
      <c r="G12" s="157"/>
      <c r="H12" s="157"/>
      <c r="I12" s="157"/>
      <c r="J12" s="157">
        <f>'Anexo 4. '!G51+'Anexo 4. '!G52+'Anexo 4. '!G53+'Anexo 4. '!G54</f>
        <v>22255.64</v>
      </c>
      <c r="K12" s="157"/>
      <c r="L12" s="157"/>
      <c r="M12" s="157"/>
      <c r="N12" s="166">
        <f t="shared" si="3"/>
        <v>194755.64</v>
      </c>
      <c r="O12" s="157">
        <f>'Anexo 4. '!G55+'Anexo 4. '!G56</f>
        <v>5768</v>
      </c>
      <c r="P12" s="166">
        <f t="shared" si="4"/>
        <v>200523.64</v>
      </c>
      <c r="Q12" s="167">
        <f t="shared" si="5"/>
        <v>12.732981406431835</v>
      </c>
      <c r="R12" s="232" t="b">
        <f t="shared" si="2"/>
        <v>1</v>
      </c>
      <c r="S12" s="249"/>
      <c r="T12" s="231" t="str">
        <f>'Quadro Geral'!B12</f>
        <v>A</v>
      </c>
      <c r="U12" s="231" t="str">
        <f>'Quadro Geral'!F12</f>
        <v>Assegurar a eficácia no atendimento e no relacionamento com os Arquitetos e Urbanistas e a Sociedade</v>
      </c>
    </row>
    <row r="13" spans="1:27" ht="53.25" customHeight="1" x14ac:dyDescent="0.4">
      <c r="A13" s="160" t="str">
        <f>'Quadro Geral'!A13</f>
        <v>Gerência Técnica</v>
      </c>
      <c r="B13" s="161" t="str">
        <f>'Quadro Geral'!D13</f>
        <v>Instituição da fiscalização no CAU/PI</v>
      </c>
      <c r="C13" s="162">
        <f>'Quadro Geral'!L13</f>
        <v>370768.66</v>
      </c>
      <c r="D13" s="156"/>
      <c r="E13" s="157">
        <f>'Anexo 4. '!G65+'Anexo 4. '!G66+'Anexo 4. '!G67</f>
        <v>306900</v>
      </c>
      <c r="F13" s="157">
        <f>'Anexo 4. '!G70+'Anexo 4. '!G71</f>
        <v>22800</v>
      </c>
      <c r="G13" s="157"/>
      <c r="H13" s="157"/>
      <c r="I13" s="157">
        <f>'Anexo 4. '!G72</f>
        <v>5732.86</v>
      </c>
      <c r="J13" s="157">
        <f>'Anexo 4. '!G68+'Anexo 4. '!G69+'Anexo 4. '!G74+'Anexo 4. '!G75+'Anexo 4. '!G76+'Anexo 4. '!G73</f>
        <v>35335.800000000003</v>
      </c>
      <c r="K13" s="157"/>
      <c r="L13" s="157"/>
      <c r="M13" s="157"/>
      <c r="N13" s="166">
        <f t="shared" si="3"/>
        <v>370768.66</v>
      </c>
      <c r="O13" s="157"/>
      <c r="P13" s="166">
        <f t="shared" si="4"/>
        <v>370768.66</v>
      </c>
      <c r="Q13" s="167">
        <f t="shared" si="5"/>
        <v>23.543311172027625</v>
      </c>
      <c r="R13" s="232" t="b">
        <f t="shared" si="2"/>
        <v>1</v>
      </c>
      <c r="S13" s="249"/>
      <c r="T13" s="231" t="str">
        <f>'Quadro Geral'!B13</f>
        <v>A</v>
      </c>
      <c r="U13" s="231" t="str">
        <f>'Quadro Geral'!F13</f>
        <v>Tornar a fiscalização um vetor de melhoria do exercício da Arquitetura e Urbanismo</v>
      </c>
    </row>
    <row r="14" spans="1:27" ht="53.25" customHeight="1" x14ac:dyDescent="0.4">
      <c r="A14" s="160" t="str">
        <f>'Quadro Geral'!A14</f>
        <v>Gerência Geral</v>
      </c>
      <c r="B14" s="161" t="str">
        <f>'Quadro Geral'!D14</f>
        <v>Comunicação do CAU/PI</v>
      </c>
      <c r="C14" s="162">
        <f>'Quadro Geral'!L14</f>
        <v>119239</v>
      </c>
      <c r="D14" s="156"/>
      <c r="E14" s="157">
        <f>'Anexo 4. '!G85+'Anexo 4. '!G86+'Anexo 4. '!G87</f>
        <v>107700</v>
      </c>
      <c r="F14" s="157">
        <f>'Anexo 4. '!G88</f>
        <v>600</v>
      </c>
      <c r="G14" s="157"/>
      <c r="H14" s="157"/>
      <c r="I14" s="157">
        <f>'Anexo 4. '!G89</f>
        <v>0</v>
      </c>
      <c r="J14" s="157"/>
      <c r="K14" s="157"/>
      <c r="L14" s="157"/>
      <c r="M14" s="157"/>
      <c r="N14" s="166">
        <f t="shared" si="3"/>
        <v>108300</v>
      </c>
      <c r="O14" s="157">
        <f>'Anexo 4. '!G90+'Anexo 4. '!G91</f>
        <v>10939</v>
      </c>
      <c r="P14" s="166">
        <f t="shared" si="4"/>
        <v>119239</v>
      </c>
      <c r="Q14" s="167">
        <f t="shared" si="5"/>
        <v>7.5715161061385343</v>
      </c>
      <c r="R14" s="232" t="b">
        <f t="shared" si="2"/>
        <v>1</v>
      </c>
      <c r="S14" s="249"/>
      <c r="T14" s="231" t="str">
        <f>'Quadro Geral'!B14</f>
        <v>A</v>
      </c>
      <c r="U14" s="231" t="str">
        <f>'Quadro Geral'!F14</f>
        <v>Assegurar a eficácia no relacionamento e comunicação com a sociedade</v>
      </c>
    </row>
    <row r="15" spans="1:27" ht="53.25" customHeight="1" x14ac:dyDescent="0.4">
      <c r="A15" s="160" t="str">
        <f>'Quadro Geral'!A15</f>
        <v>Presidência</v>
      </c>
      <c r="B15" s="161" t="str">
        <f>'Quadro Geral'!D15</f>
        <v>Patrocínio em Arquitetura</v>
      </c>
      <c r="C15" s="162">
        <f>'Quadro Geral'!L15</f>
        <v>0</v>
      </c>
      <c r="D15" s="156"/>
      <c r="E15" s="157"/>
      <c r="F15" s="157"/>
      <c r="G15" s="157"/>
      <c r="H15" s="157"/>
      <c r="I15" s="157"/>
      <c r="J15" s="157">
        <f>'Anexo 4. '!G100</f>
        <v>0</v>
      </c>
      <c r="K15" s="157"/>
      <c r="L15" s="157"/>
      <c r="M15" s="157"/>
      <c r="N15" s="166">
        <f t="shared" si="3"/>
        <v>0</v>
      </c>
      <c r="O15" s="157"/>
      <c r="P15" s="166">
        <f t="shared" si="4"/>
        <v>0</v>
      </c>
      <c r="Q15" s="167">
        <f t="shared" si="5"/>
        <v>0</v>
      </c>
      <c r="R15" s="232" t="b">
        <f t="shared" si="2"/>
        <v>1</v>
      </c>
      <c r="S15" s="249"/>
      <c r="T15" s="231" t="str">
        <f>'Quadro Geral'!B15</f>
        <v>P</v>
      </c>
      <c r="U15" s="231" t="str">
        <f>'Quadro Geral'!F15</f>
        <v>Estimular o conhecimento, o uso de processos criativos e a difusão das melhores práticas em Arquitetura e Urbanismo</v>
      </c>
    </row>
    <row r="16" spans="1:27" ht="53.25" customHeight="1" x14ac:dyDescent="0.4">
      <c r="A16" s="160" t="str">
        <f>'Quadro Geral'!A16</f>
        <v>Gerência Geral</v>
      </c>
      <c r="B16" s="161" t="str">
        <f>'Quadro Geral'!D16</f>
        <v>Capacitação de funcionários e dirigentes do CAU/PI</v>
      </c>
      <c r="C16" s="162">
        <f>'Quadro Geral'!L16</f>
        <v>20129.97</v>
      </c>
      <c r="D16" s="156"/>
      <c r="E16" s="157"/>
      <c r="F16" s="157"/>
      <c r="G16" s="157"/>
      <c r="H16" s="157"/>
      <c r="I16" s="157"/>
      <c r="J16" s="157">
        <f>'Anexo 4. '!G109</f>
        <v>20129.97</v>
      </c>
      <c r="K16" s="157"/>
      <c r="L16" s="157"/>
      <c r="M16" s="157"/>
      <c r="N16" s="166">
        <f t="shared" si="3"/>
        <v>20129.97</v>
      </c>
      <c r="O16" s="157"/>
      <c r="P16" s="166">
        <f t="shared" si="4"/>
        <v>20129.97</v>
      </c>
      <c r="Q16" s="167">
        <f t="shared" si="5"/>
        <v>1.2782260172517845</v>
      </c>
      <c r="R16" s="232" t="b">
        <f t="shared" si="2"/>
        <v>1</v>
      </c>
      <c r="S16" s="249"/>
      <c r="T16" s="231" t="str">
        <f>'Quadro Geral'!B16</f>
        <v>P</v>
      </c>
      <c r="U16" s="231" t="str">
        <f>'Quadro Geral'!F16</f>
        <v>Desenvolver competências de dirigentes e colaboradores</v>
      </c>
    </row>
    <row r="17" spans="1:21" ht="53.25" customHeight="1" x14ac:dyDescent="0.4">
      <c r="A17" s="160" t="str">
        <f>'Quadro Geral'!A17</f>
        <v>Comissão de Ética, ensino e exercício profissional</v>
      </c>
      <c r="B17" s="161" t="str">
        <f>'Quadro Geral'!D17</f>
        <v>Por uma ética profissional no CAU/PI</v>
      </c>
      <c r="C17" s="162">
        <f>'Quadro Geral'!L17</f>
        <v>18913.830000000002</v>
      </c>
      <c r="D17" s="156"/>
      <c r="E17" s="157"/>
      <c r="F17" s="157">
        <f>'Anexo 4. '!G120</f>
        <v>4200</v>
      </c>
      <c r="G17" s="157"/>
      <c r="H17" s="157">
        <f>'Anexo 4. '!G118</f>
        <v>2700</v>
      </c>
      <c r="I17" s="157">
        <f>'Anexo 4. '!G119+'Anexo 4. '!G121</f>
        <v>12013.83</v>
      </c>
      <c r="J17" s="157"/>
      <c r="K17" s="157"/>
      <c r="L17" s="157"/>
      <c r="M17" s="157"/>
      <c r="N17" s="166">
        <f t="shared" si="3"/>
        <v>18913.830000000002</v>
      </c>
      <c r="O17" s="157"/>
      <c r="P17" s="166">
        <f t="shared" si="4"/>
        <v>18913.830000000002</v>
      </c>
      <c r="Q17" s="167">
        <f t="shared" si="5"/>
        <v>1.2010027631376163</v>
      </c>
      <c r="R17" s="232" t="b">
        <f t="shared" si="2"/>
        <v>1</v>
      </c>
      <c r="S17" s="249"/>
      <c r="T17" s="231" t="str">
        <f>'Quadro Geral'!B17</f>
        <v>A</v>
      </c>
      <c r="U17" s="231" t="str">
        <f>'Quadro Geral'!F17</f>
        <v>Promover o exercício ético e qualificado da profissão</v>
      </c>
    </row>
    <row r="18" spans="1:21" ht="53.25" customHeight="1" x14ac:dyDescent="0.4">
      <c r="A18" s="160" t="str">
        <f>'Quadro Geral'!A18</f>
        <v>Comissão de finanças, atos administrativos e planejamento estratégico do CAU/PI</v>
      </c>
      <c r="B18" s="161" t="str">
        <f>'Quadro Geral'!D18</f>
        <v>Administração e planejamento do CAU/PI</v>
      </c>
      <c r="C18" s="162">
        <f>'Quadro Geral'!L18</f>
        <v>5407.21</v>
      </c>
      <c r="D18" s="156"/>
      <c r="E18" s="157"/>
      <c r="F18" s="157">
        <f>'Anexo 4. '!G132</f>
        <v>3600</v>
      </c>
      <c r="G18" s="157"/>
      <c r="H18" s="157">
        <f>'Anexo 4. '!G130</f>
        <v>0</v>
      </c>
      <c r="I18" s="157">
        <f>'Anexo 4. '!G131+'Anexo 4. '!G133</f>
        <v>1807.21</v>
      </c>
      <c r="J18" s="157"/>
      <c r="K18" s="157"/>
      <c r="L18" s="157"/>
      <c r="M18" s="157"/>
      <c r="N18" s="166">
        <f t="shared" si="3"/>
        <v>5407.21</v>
      </c>
      <c r="O18" s="157"/>
      <c r="P18" s="166">
        <f t="shared" si="4"/>
        <v>5407.21</v>
      </c>
      <c r="Q18" s="167">
        <f t="shared" si="5"/>
        <v>0.34335056151320748</v>
      </c>
      <c r="R18" s="232" t="b">
        <f t="shared" si="2"/>
        <v>1</v>
      </c>
      <c r="S18" s="249"/>
      <c r="T18" s="231" t="str">
        <f>'Quadro Geral'!B18</f>
        <v>A</v>
      </c>
      <c r="U18" s="231" t="str">
        <f>'Quadro Geral'!F18</f>
        <v>Aprimorar e inovar os processos e as ações</v>
      </c>
    </row>
    <row r="19" spans="1:21" ht="53.25" customHeight="1" x14ac:dyDescent="0.4">
      <c r="A19" s="160" t="str">
        <f>'Quadro Geral'!A19</f>
        <v>Presidência</v>
      </c>
      <c r="B19" s="161" t="str">
        <f>'Quadro Geral'!D19</f>
        <v>Representação institucional do CAU/PI</v>
      </c>
      <c r="C19" s="162">
        <f>'Quadro Geral'!L19</f>
        <v>73870.23</v>
      </c>
      <c r="D19" s="156"/>
      <c r="E19" s="157"/>
      <c r="F19" s="157"/>
      <c r="G19" s="157"/>
      <c r="H19" s="157">
        <f>'Anexo 4. '!G143+'Anexo 4. '!G145+'Anexo 4. '!G147</f>
        <v>41800</v>
      </c>
      <c r="I19" s="157">
        <f>'Anexo 4. '!G144+'Anexo 4. '!G146</f>
        <v>27111.13</v>
      </c>
      <c r="J19" s="157">
        <f>'Anexo 4. '!G142+'Anexo 4. '!G148</f>
        <v>4959.1000000000004</v>
      </c>
      <c r="K19" s="157"/>
      <c r="L19" s="157"/>
      <c r="M19" s="157"/>
      <c r="N19" s="166">
        <f t="shared" si="3"/>
        <v>73870.23000000001</v>
      </c>
      <c r="O19" s="157"/>
      <c r="P19" s="166">
        <f t="shared" si="4"/>
        <v>73870.23000000001</v>
      </c>
      <c r="Q19" s="167">
        <f t="shared" si="5"/>
        <v>4.6906602387571015</v>
      </c>
      <c r="R19" s="232" t="b">
        <f t="shared" si="2"/>
        <v>1</v>
      </c>
      <c r="S19" s="249"/>
      <c r="T19" s="231" t="str">
        <f>'Quadro Geral'!B19</f>
        <v>A</v>
      </c>
      <c r="U19" s="231" t="str">
        <f>'Quadro Geral'!F19</f>
        <v>Estimular a produção da Arquitetura e Urbanismo como política de Estado</v>
      </c>
    </row>
    <row r="20" spans="1:21" ht="53.25" customHeight="1" x14ac:dyDescent="0.4">
      <c r="A20" s="160" t="str">
        <f>'Quadro Geral'!A20</f>
        <v xml:space="preserve">Comissão de política profissional e política urbana e ambiental </v>
      </c>
      <c r="B20" s="161" t="str">
        <f>'Quadro Geral'!D20</f>
        <v>Assistência Técnica</v>
      </c>
      <c r="C20" s="162">
        <f>'Quadro Geral'!L20</f>
        <v>0</v>
      </c>
      <c r="D20" s="156"/>
      <c r="E20" s="157"/>
      <c r="F20" s="157"/>
      <c r="G20" s="157"/>
      <c r="H20" s="157">
        <f>'Anexo 4. '!G157+'Anexo 4. '!G159</f>
        <v>0</v>
      </c>
      <c r="I20" s="157">
        <f>'Anexo 4. '!G158+'Anexo 4. '!G160</f>
        <v>0</v>
      </c>
      <c r="J20" s="157">
        <f>'Anexo 4. '!G161</f>
        <v>0</v>
      </c>
      <c r="K20" s="157"/>
      <c r="L20" s="157"/>
      <c r="M20" s="157"/>
      <c r="N20" s="166">
        <f t="shared" si="3"/>
        <v>0</v>
      </c>
      <c r="O20" s="157"/>
      <c r="P20" s="166">
        <f t="shared" si="4"/>
        <v>0</v>
      </c>
      <c r="Q20" s="167">
        <f t="shared" si="5"/>
        <v>0</v>
      </c>
      <c r="R20" s="232" t="b">
        <f t="shared" si="2"/>
        <v>1</v>
      </c>
      <c r="S20" s="249"/>
      <c r="T20" s="231" t="str">
        <f>'Quadro Geral'!B20</f>
        <v>P</v>
      </c>
      <c r="U20" s="231" t="str">
        <f>'Quadro Geral'!F20</f>
        <v>Fomentar o acesso da sociedade à Arquitetura e Urbanismo</v>
      </c>
    </row>
    <row r="21" spans="1:21" s="253" customFormat="1" x14ac:dyDescent="0.25">
      <c r="A21" s="510" t="s">
        <v>44</v>
      </c>
      <c r="B21" s="510"/>
      <c r="C21" s="163">
        <f>SUM(C7:C20)</f>
        <v>1574836.51</v>
      </c>
      <c r="D21" s="156"/>
      <c r="E21" s="164">
        <f t="shared" ref="E21:Q21" si="6">SUM(E7:E20)</f>
        <v>1004600</v>
      </c>
      <c r="F21" s="164">
        <f t="shared" si="6"/>
        <v>31200</v>
      </c>
      <c r="G21" s="164">
        <f t="shared" si="6"/>
        <v>6429.86</v>
      </c>
      <c r="H21" s="164">
        <f t="shared" si="6"/>
        <v>44500</v>
      </c>
      <c r="I21" s="164">
        <f t="shared" si="6"/>
        <v>46665.03</v>
      </c>
      <c r="J21" s="164">
        <f t="shared" si="6"/>
        <v>271480.67999999993</v>
      </c>
      <c r="K21" s="164">
        <f t="shared" si="6"/>
        <v>105772.66</v>
      </c>
      <c r="L21" s="164">
        <f t="shared" si="6"/>
        <v>2595.2799999999997</v>
      </c>
      <c r="M21" s="164">
        <f t="shared" si="6"/>
        <v>23600</v>
      </c>
      <c r="N21" s="164">
        <f t="shared" si="6"/>
        <v>1536843.51</v>
      </c>
      <c r="O21" s="164">
        <f t="shared" si="6"/>
        <v>37993</v>
      </c>
      <c r="P21" s="164">
        <f t="shared" si="6"/>
        <v>1574836.51</v>
      </c>
      <c r="Q21" s="511">
        <f t="shared" si="6"/>
        <v>100</v>
      </c>
      <c r="R21" s="250" t="b">
        <f>C21=P21</f>
        <v>1</v>
      </c>
      <c r="S21" s="251"/>
      <c r="T21" s="252"/>
    </row>
    <row r="22" spans="1:21" s="253" customFormat="1" x14ac:dyDescent="0.25">
      <c r="A22" s="510" t="s">
        <v>40</v>
      </c>
      <c r="B22" s="510"/>
      <c r="C22" s="510"/>
      <c r="D22" s="156"/>
      <c r="E22" s="165">
        <f>IFERROR(E21/$P21*100,0)</f>
        <v>63.790748666348861</v>
      </c>
      <c r="F22" s="165">
        <f>IFERROR(F21/$P21*100,0)</f>
        <v>1.9811580314454358</v>
      </c>
      <c r="G22" s="165">
        <f t="shared" ref="G22" si="7">IFERROR(G21/$P21*100,0)</f>
        <v>0.40828746089967144</v>
      </c>
      <c r="H22" s="165">
        <f t="shared" ref="H22:P22" si="8">IFERROR(H21/$P21*100,0)</f>
        <v>2.8256901410039066</v>
      </c>
      <c r="I22" s="165">
        <f t="shared" si="8"/>
        <v>2.9631666337225062</v>
      </c>
      <c r="J22" s="165">
        <f t="shared" si="8"/>
        <v>17.238657998854748</v>
      </c>
      <c r="K22" s="165">
        <f t="shared" si="8"/>
        <v>6.7164216303316469</v>
      </c>
      <c r="L22" s="165">
        <f t="shared" si="8"/>
        <v>0.16479678896954197</v>
      </c>
      <c r="M22" s="165">
        <f t="shared" si="8"/>
        <v>1.4985682545548809</v>
      </c>
      <c r="N22" s="165">
        <f t="shared" si="8"/>
        <v>97.587495606131199</v>
      </c>
      <c r="O22" s="165">
        <f t="shared" si="8"/>
        <v>2.412504393868796</v>
      </c>
      <c r="P22" s="165">
        <f t="shared" si="8"/>
        <v>100</v>
      </c>
      <c r="Q22" s="511"/>
      <c r="R22" s="252"/>
      <c r="S22" s="251"/>
      <c r="T22" s="252"/>
    </row>
    <row r="23" spans="1:21" s="255" customFormat="1" ht="25.5" x14ac:dyDescent="0.35">
      <c r="A23" s="158"/>
      <c r="B23" s="159"/>
      <c r="C23" s="284" t="b">
        <f>C21='Quadro Geral'!L21</f>
        <v>1</v>
      </c>
      <c r="D23" s="256"/>
      <c r="E23" s="231" t="b">
        <f>E21='Anexo 2. Limites Estratégicos'!M4</f>
        <v>1</v>
      </c>
      <c r="F23" s="158"/>
      <c r="G23" s="159" t="str">
        <f>'Quadro Geral'!A22</f>
        <v>LEGENDA: P = PROJETO/ A = ATIVIDADE/ PE = PROJETO ESPECÍFICO / FA = FUNDO DE APOIO</v>
      </c>
      <c r="H23" s="159"/>
      <c r="I23" s="159"/>
      <c r="J23" s="159"/>
      <c r="K23" s="159"/>
      <c r="L23" s="159"/>
      <c r="M23" s="159"/>
      <c r="N23" s="159"/>
      <c r="O23" s="231" t="b">
        <f>('Anexo 1. Fontes e Aplicações'!F21-'Anexo 1. Fontes e Aplicações'!F27)='Anexo 3. Elemento de Despesas'!O21</f>
        <v>1</v>
      </c>
      <c r="P23" s="159" t="b">
        <f>P21='Anexo 1. Fontes e Aplicações'!F23</f>
        <v>1</v>
      </c>
      <c r="Q23" s="159"/>
      <c r="R23" s="254"/>
      <c r="S23" s="249"/>
      <c r="T23" s="254"/>
    </row>
    <row r="24" spans="1:21" s="255" customFormat="1" ht="25.5" hidden="1" x14ac:dyDescent="0.35">
      <c r="A24" s="505" t="s">
        <v>151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254"/>
      <c r="S24" s="249"/>
      <c r="T24" s="254"/>
    </row>
    <row r="25" spans="1:21" s="255" customFormat="1" ht="321.75" hidden="1" customHeight="1" x14ac:dyDescent="0.35">
      <c r="A25" s="506" t="s">
        <v>312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254"/>
      <c r="S25" s="254"/>
      <c r="T25" s="254"/>
    </row>
  </sheetData>
  <mergeCells count="21">
    <mergeCell ref="A2:Q2"/>
    <mergeCell ref="G5:G6"/>
    <mergeCell ref="M5:M6"/>
    <mergeCell ref="N5:N6"/>
    <mergeCell ref="O5:O6"/>
    <mergeCell ref="P5:P6"/>
    <mergeCell ref="A5:A6"/>
    <mergeCell ref="B5:B6"/>
    <mergeCell ref="C5:C6"/>
    <mergeCell ref="E5:F5"/>
    <mergeCell ref="A3:Q3"/>
    <mergeCell ref="Q5:Q6"/>
    <mergeCell ref="R5:R6"/>
    <mergeCell ref="A24:Q24"/>
    <mergeCell ref="A25:Q25"/>
    <mergeCell ref="H5:J5"/>
    <mergeCell ref="K5:K6"/>
    <mergeCell ref="L5:L6"/>
    <mergeCell ref="A21:B21"/>
    <mergeCell ref="Q21:Q22"/>
    <mergeCell ref="A22:C22"/>
  </mergeCells>
  <conditionalFormatting sqref="R7:R21">
    <cfRule type="cellIs" dxfId="9" priority="5" operator="equal">
      <formula>TRUE</formula>
    </cfRule>
  </conditionalFormatting>
  <conditionalFormatting sqref="C23">
    <cfRule type="cellIs" dxfId="8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6"/>
  <sheetViews>
    <sheetView showGridLines="0" tabSelected="1" topLeftCell="A52" zoomScale="70" zoomScaleNormal="70" workbookViewId="0">
      <selection activeCell="G9" sqref="G9"/>
    </sheetView>
  </sheetViews>
  <sheetFormatPr defaultRowHeight="15" x14ac:dyDescent="0.25"/>
  <cols>
    <col min="1" max="1" width="23.5703125" customWidth="1"/>
    <col min="2" max="2" width="30.28515625" customWidth="1"/>
    <col min="3" max="4" width="26.85546875" customWidth="1"/>
    <col min="5" max="5" width="27.5703125" customWidth="1"/>
    <col min="6" max="6" width="25.5703125" customWidth="1"/>
    <col min="7" max="7" width="27.42578125" customWidth="1"/>
    <col min="8" max="8" width="19.5703125" customWidth="1"/>
    <col min="9" max="9" width="24.140625" customWidth="1"/>
    <col min="10" max="10" width="39.5703125" customWidth="1"/>
    <col min="13" max="13" width="12.85546875" bestFit="1" customWidth="1"/>
  </cols>
  <sheetData>
    <row r="1" spans="1:10" ht="19.5" x14ac:dyDescent="0.25">
      <c r="A1" s="517" t="s">
        <v>599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ht="26.25" hidden="1" x14ac:dyDescent="0.25">
      <c r="A2" s="519" t="s">
        <v>600</v>
      </c>
      <c r="B2" s="519"/>
      <c r="C2" s="519"/>
      <c r="D2" s="519"/>
      <c r="E2" s="519"/>
      <c r="F2" s="519"/>
      <c r="G2" s="519"/>
      <c r="H2" s="519"/>
      <c r="I2" s="519"/>
      <c r="J2" s="520"/>
    </row>
    <row r="3" spans="1:10" ht="26.25" x14ac:dyDescent="0.25">
      <c r="A3" s="521" t="s">
        <v>419</v>
      </c>
      <c r="B3" s="522"/>
      <c r="C3" s="523" t="s">
        <v>420</v>
      </c>
      <c r="D3" s="524"/>
      <c r="E3" s="524"/>
      <c r="F3" s="524"/>
      <c r="G3" s="524"/>
      <c r="H3" s="524"/>
      <c r="I3" s="524"/>
      <c r="J3" s="525"/>
    </row>
    <row r="4" spans="1:10" ht="26.25" x14ac:dyDescent="0.25">
      <c r="A4" s="522" t="s">
        <v>34</v>
      </c>
      <c r="B4" s="522"/>
      <c r="C4" s="526" t="s">
        <v>32</v>
      </c>
      <c r="D4" s="526"/>
      <c r="E4" s="526"/>
      <c r="F4" s="526"/>
      <c r="G4" s="526"/>
      <c r="H4" s="526"/>
      <c r="I4" s="526"/>
      <c r="J4" s="527"/>
    </row>
    <row r="5" spans="1:10" ht="26.25" x14ac:dyDescent="0.25">
      <c r="A5" s="296"/>
      <c r="B5" s="296"/>
      <c r="C5" s="296"/>
      <c r="D5" s="297"/>
      <c r="E5" s="297"/>
      <c r="F5" s="297"/>
      <c r="G5" s="297"/>
      <c r="H5" s="297"/>
      <c r="I5" s="297" t="s">
        <v>601</v>
      </c>
      <c r="J5" s="297"/>
    </row>
    <row r="6" spans="1:10" ht="26.25" x14ac:dyDescent="0.25">
      <c r="A6" s="528" t="s">
        <v>413</v>
      </c>
      <c r="B6" s="529"/>
      <c r="C6" s="529"/>
      <c r="D6" s="528" t="s">
        <v>414</v>
      </c>
      <c r="E6" s="529"/>
      <c r="F6" s="529"/>
      <c r="G6" s="529"/>
      <c r="H6" s="530"/>
      <c r="I6" s="531" t="s">
        <v>602</v>
      </c>
      <c r="J6" s="532"/>
    </row>
    <row r="7" spans="1:10" ht="26.25" x14ac:dyDescent="0.25">
      <c r="A7" s="528" t="s">
        <v>415</v>
      </c>
      <c r="B7" s="529"/>
      <c r="C7" s="530"/>
      <c r="D7" s="533" t="s">
        <v>603</v>
      </c>
      <c r="E7" s="528" t="s">
        <v>604</v>
      </c>
      <c r="F7" s="529"/>
      <c r="G7" s="535"/>
      <c r="H7" s="536" t="s">
        <v>605</v>
      </c>
      <c r="I7" s="537" t="s">
        <v>606</v>
      </c>
      <c r="J7" s="537" t="s">
        <v>607</v>
      </c>
    </row>
    <row r="8" spans="1:10" ht="78.75" x14ac:dyDescent="0.25">
      <c r="A8" s="298" t="s">
        <v>416</v>
      </c>
      <c r="B8" s="298" t="s">
        <v>417</v>
      </c>
      <c r="C8" s="299" t="s">
        <v>418</v>
      </c>
      <c r="D8" s="534"/>
      <c r="E8" s="298" t="s">
        <v>675</v>
      </c>
      <c r="F8" s="382" t="s">
        <v>676</v>
      </c>
      <c r="G8" s="388" t="s">
        <v>608</v>
      </c>
      <c r="H8" s="530"/>
      <c r="I8" s="538"/>
      <c r="J8" s="538"/>
    </row>
    <row r="9" spans="1:10" ht="26.25" x14ac:dyDescent="0.25">
      <c r="A9" s="310">
        <v>12</v>
      </c>
      <c r="B9" s="310" t="s">
        <v>421</v>
      </c>
      <c r="C9" s="306"/>
      <c r="D9" s="307">
        <v>53000</v>
      </c>
      <c r="E9" s="307">
        <v>33311.199999999997</v>
      </c>
      <c r="F9" s="383">
        <f>49966.8-E9</f>
        <v>16655.600000000006</v>
      </c>
      <c r="G9" s="389">
        <f>E9+F9</f>
        <v>49966.8</v>
      </c>
      <c r="H9" s="386">
        <f>IFERROR(G9/D9*100-100,0)</f>
        <v>-5.7230188679245231</v>
      </c>
      <c r="I9" s="308"/>
      <c r="J9" s="309">
        <f>IFERROR(I9/G9*100,)</f>
        <v>0</v>
      </c>
    </row>
    <row r="10" spans="1:10" s="4" customFormat="1" ht="78.75" x14ac:dyDescent="0.25">
      <c r="A10" s="310">
        <v>48</v>
      </c>
      <c r="B10" s="337" t="s">
        <v>677</v>
      </c>
      <c r="C10" s="306"/>
      <c r="D10" s="307">
        <v>27000</v>
      </c>
      <c r="E10" s="307">
        <f>8026.91+8016.72+1120.38</f>
        <v>17164.010000000002</v>
      </c>
      <c r="F10" s="383">
        <f>2200+12000+1200+13000-E10</f>
        <v>11235.989999999998</v>
      </c>
      <c r="G10" s="389">
        <f t="shared" ref="G10:G38" si="0">E10+F10</f>
        <v>28400</v>
      </c>
      <c r="H10" s="386">
        <f t="shared" ref="H10:H38" si="1">IFERROR(G10/D10*100-100,0)</f>
        <v>5.1851851851851762</v>
      </c>
      <c r="I10" s="308"/>
      <c r="J10" s="309">
        <f t="shared" ref="J10:J38" si="2">IFERROR(I10/G10*100,)</f>
        <v>0</v>
      </c>
    </row>
    <row r="11" spans="1:10" s="4" customFormat="1" ht="47.25" x14ac:dyDescent="0.25">
      <c r="A11" s="310">
        <v>12</v>
      </c>
      <c r="B11" s="310" t="s">
        <v>422</v>
      </c>
      <c r="C11" s="306"/>
      <c r="D11" s="307">
        <v>3100</v>
      </c>
      <c r="E11" s="307">
        <v>2158.4299999999998</v>
      </c>
      <c r="F11" s="383">
        <f>3400-E11+1200</f>
        <v>2441.5700000000002</v>
      </c>
      <c r="G11" s="389">
        <f t="shared" si="0"/>
        <v>4600</v>
      </c>
      <c r="H11" s="386">
        <f t="shared" si="1"/>
        <v>48.387096774193537</v>
      </c>
      <c r="I11" s="308"/>
      <c r="J11" s="309">
        <f t="shared" si="2"/>
        <v>0</v>
      </c>
    </row>
    <row r="12" spans="1:10" s="4" customFormat="1" ht="78.75" x14ac:dyDescent="0.25">
      <c r="A12" s="310">
        <v>12</v>
      </c>
      <c r="B12" s="310" t="s">
        <v>550</v>
      </c>
      <c r="C12" s="306"/>
      <c r="D12" s="307">
        <v>34000</v>
      </c>
      <c r="E12" s="307">
        <v>22683.119999999999</v>
      </c>
      <c r="F12" s="383">
        <f>35435.27-E12+1600+964.73</f>
        <v>15316.879999999997</v>
      </c>
      <c r="G12" s="389">
        <f t="shared" si="0"/>
        <v>38000</v>
      </c>
      <c r="H12" s="386">
        <f t="shared" si="1"/>
        <v>11.764705882352942</v>
      </c>
      <c r="I12" s="308"/>
      <c r="J12" s="309">
        <f t="shared" si="2"/>
        <v>0</v>
      </c>
    </row>
    <row r="13" spans="1:10" s="4" customFormat="1" ht="126" x14ac:dyDescent="0.25">
      <c r="A13" s="310">
        <v>12</v>
      </c>
      <c r="B13" s="310" t="s">
        <v>611</v>
      </c>
      <c r="C13" s="306"/>
      <c r="D13" s="307">
        <v>2400</v>
      </c>
      <c r="E13" s="307">
        <v>1618.59</v>
      </c>
      <c r="F13" s="383">
        <f>2508.31-E13</f>
        <v>889.72</v>
      </c>
      <c r="G13" s="389">
        <f t="shared" si="0"/>
        <v>2508.31</v>
      </c>
      <c r="H13" s="386">
        <f t="shared" si="1"/>
        <v>4.5129166666666691</v>
      </c>
      <c r="I13" s="308"/>
      <c r="J13" s="309">
        <f t="shared" si="2"/>
        <v>0</v>
      </c>
    </row>
    <row r="14" spans="1:10" s="4" customFormat="1" ht="31.5" x14ac:dyDescent="0.25">
      <c r="A14" s="310">
        <v>12</v>
      </c>
      <c r="B14" s="310" t="s">
        <v>612</v>
      </c>
      <c r="C14" s="306"/>
      <c r="D14" s="307">
        <v>1000</v>
      </c>
      <c r="E14" s="307">
        <v>0</v>
      </c>
      <c r="F14" s="383">
        <v>0</v>
      </c>
      <c r="G14" s="389">
        <f t="shared" si="0"/>
        <v>0</v>
      </c>
      <c r="H14" s="386">
        <f t="shared" si="1"/>
        <v>-100</v>
      </c>
      <c r="I14" s="308"/>
      <c r="J14" s="309">
        <f t="shared" si="2"/>
        <v>0</v>
      </c>
    </row>
    <row r="15" spans="1:10" s="4" customFormat="1" ht="63" x14ac:dyDescent="0.25">
      <c r="A15" s="310">
        <v>24</v>
      </c>
      <c r="B15" s="310" t="s">
        <v>613</v>
      </c>
      <c r="C15" s="306"/>
      <c r="D15" s="307">
        <v>24000</v>
      </c>
      <c r="E15" s="307">
        <v>15813.06</v>
      </c>
      <c r="F15" s="383">
        <v>8000</v>
      </c>
      <c r="G15" s="389">
        <f t="shared" si="0"/>
        <v>23813.059999999998</v>
      </c>
      <c r="H15" s="386">
        <f t="shared" si="1"/>
        <v>-0.77891666666667447</v>
      </c>
      <c r="I15" s="308"/>
      <c r="J15" s="309">
        <f t="shared" si="2"/>
        <v>0</v>
      </c>
    </row>
    <row r="16" spans="1:10" s="4" customFormat="1" ht="26.25" x14ac:dyDescent="0.25">
      <c r="A16" s="310">
        <v>12</v>
      </c>
      <c r="B16" s="310" t="s">
        <v>424</v>
      </c>
      <c r="C16" s="306"/>
      <c r="D16" s="307">
        <v>22000</v>
      </c>
      <c r="E16" s="307">
        <v>13406.17</v>
      </c>
      <c r="F16" s="383">
        <f>23000-E16</f>
        <v>9593.83</v>
      </c>
      <c r="G16" s="389">
        <f t="shared" si="0"/>
        <v>23000</v>
      </c>
      <c r="H16" s="386">
        <f t="shared" si="1"/>
        <v>4.5454545454545467</v>
      </c>
      <c r="I16" s="308"/>
      <c r="J16" s="309">
        <f t="shared" si="2"/>
        <v>0</v>
      </c>
    </row>
    <row r="17" spans="1:10" s="4" customFormat="1" ht="26.25" x14ac:dyDescent="0.25">
      <c r="A17" s="310">
        <v>12</v>
      </c>
      <c r="B17" s="310" t="s">
        <v>425</v>
      </c>
      <c r="C17" s="306"/>
      <c r="D17" s="307">
        <v>1000</v>
      </c>
      <c r="E17" s="307">
        <v>5.32</v>
      </c>
      <c r="F17" s="383">
        <f>600-E17</f>
        <v>594.67999999999995</v>
      </c>
      <c r="G17" s="389">
        <f t="shared" si="0"/>
        <v>600</v>
      </c>
      <c r="H17" s="386">
        <f t="shared" si="1"/>
        <v>-40</v>
      </c>
      <c r="I17" s="308"/>
      <c r="J17" s="309">
        <f t="shared" si="2"/>
        <v>0</v>
      </c>
    </row>
    <row r="18" spans="1:10" s="4" customFormat="1" ht="126" x14ac:dyDescent="0.25">
      <c r="A18" s="310">
        <v>1</v>
      </c>
      <c r="B18" s="310" t="s">
        <v>552</v>
      </c>
      <c r="C18" s="306"/>
      <c r="D18" s="307">
        <v>1700</v>
      </c>
      <c r="E18" s="307">
        <v>0</v>
      </c>
      <c r="F18" s="383">
        <v>1500</v>
      </c>
      <c r="G18" s="389">
        <f t="shared" si="0"/>
        <v>1500</v>
      </c>
      <c r="H18" s="386">
        <f t="shared" si="1"/>
        <v>-11.764705882352942</v>
      </c>
      <c r="I18" s="308"/>
      <c r="J18" s="309">
        <f t="shared" si="2"/>
        <v>0</v>
      </c>
    </row>
    <row r="19" spans="1:10" ht="126" x14ac:dyDescent="0.25">
      <c r="A19" s="310">
        <v>12</v>
      </c>
      <c r="B19" s="310" t="s">
        <v>549</v>
      </c>
      <c r="C19" s="300"/>
      <c r="D19" s="301">
        <v>372960</v>
      </c>
      <c r="E19" s="301">
        <v>255781.43</v>
      </c>
      <c r="F19" s="383">
        <f>380600-E19</f>
        <v>124818.57</v>
      </c>
      <c r="G19" s="389">
        <f t="shared" si="0"/>
        <v>380600</v>
      </c>
      <c r="H19" s="386">
        <f t="shared" si="1"/>
        <v>2.0484770484770394</v>
      </c>
      <c r="I19" s="302"/>
      <c r="J19" s="309">
        <f t="shared" si="2"/>
        <v>0</v>
      </c>
    </row>
    <row r="20" spans="1:10" ht="141.75" x14ac:dyDescent="0.25">
      <c r="A20" s="310">
        <v>12</v>
      </c>
      <c r="B20" s="310" t="s">
        <v>553</v>
      </c>
      <c r="C20" s="300"/>
      <c r="D20" s="301">
        <v>36000</v>
      </c>
      <c r="E20" s="301">
        <v>24000</v>
      </c>
      <c r="F20" s="384">
        <f>36000-E20</f>
        <v>12000</v>
      </c>
      <c r="G20" s="389">
        <f t="shared" si="0"/>
        <v>36000</v>
      </c>
      <c r="H20" s="386">
        <f t="shared" si="1"/>
        <v>0</v>
      </c>
      <c r="I20" s="302"/>
      <c r="J20" s="309">
        <f t="shared" si="2"/>
        <v>0</v>
      </c>
    </row>
    <row r="21" spans="1:10" s="4" customFormat="1" ht="26.25" x14ac:dyDescent="0.25">
      <c r="A21" s="310">
        <v>12</v>
      </c>
      <c r="B21" s="310" t="s">
        <v>426</v>
      </c>
      <c r="C21" s="300"/>
      <c r="D21" s="301">
        <v>900</v>
      </c>
      <c r="E21" s="301">
        <v>535.89</v>
      </c>
      <c r="F21" s="384">
        <f>900-E21</f>
        <v>364.11</v>
      </c>
      <c r="G21" s="389">
        <f t="shared" si="0"/>
        <v>900</v>
      </c>
      <c r="H21" s="386">
        <f t="shared" si="1"/>
        <v>0</v>
      </c>
      <c r="I21" s="302"/>
      <c r="J21" s="309">
        <f t="shared" si="2"/>
        <v>0</v>
      </c>
    </row>
    <row r="22" spans="1:10" s="4" customFormat="1" ht="31.5" x14ac:dyDescent="0.25">
      <c r="A22" s="310">
        <v>12</v>
      </c>
      <c r="B22" s="310" t="s">
        <v>427</v>
      </c>
      <c r="C22" s="300"/>
      <c r="D22" s="301">
        <v>3000</v>
      </c>
      <c r="E22" s="301">
        <v>1081.6400000000001</v>
      </c>
      <c r="F22" s="384">
        <f>2000-E22</f>
        <v>918.3599999999999</v>
      </c>
      <c r="G22" s="389">
        <f t="shared" si="0"/>
        <v>2000</v>
      </c>
      <c r="H22" s="386">
        <f t="shared" si="1"/>
        <v>-33.333333333333343</v>
      </c>
      <c r="I22" s="302"/>
      <c r="J22" s="309">
        <f t="shared" si="2"/>
        <v>0</v>
      </c>
    </row>
    <row r="23" spans="1:10" s="4" customFormat="1" ht="94.5" x14ac:dyDescent="0.25">
      <c r="A23" s="310">
        <v>3</v>
      </c>
      <c r="B23" s="310" t="s">
        <v>668</v>
      </c>
      <c r="C23" s="300"/>
      <c r="D23" s="301">
        <v>9000</v>
      </c>
      <c r="E23" s="301">
        <f>3089.7+2315.16+1025</f>
        <v>6429.86</v>
      </c>
      <c r="F23" s="384">
        <v>0</v>
      </c>
      <c r="G23" s="389">
        <f t="shared" si="0"/>
        <v>6429.86</v>
      </c>
      <c r="H23" s="386">
        <f t="shared" si="1"/>
        <v>-28.557111111111112</v>
      </c>
      <c r="I23" s="302"/>
      <c r="J23" s="309">
        <f t="shared" si="2"/>
        <v>0</v>
      </c>
    </row>
    <row r="24" spans="1:10" s="4" customFormat="1" ht="94.5" x14ac:dyDescent="0.25">
      <c r="A24" s="310">
        <v>1</v>
      </c>
      <c r="B24" s="310" t="s">
        <v>428</v>
      </c>
      <c r="C24" s="300"/>
      <c r="D24" s="301">
        <v>1600</v>
      </c>
      <c r="E24" s="301">
        <v>620</v>
      </c>
      <c r="F24" s="384">
        <v>0</v>
      </c>
      <c r="G24" s="389">
        <f t="shared" si="0"/>
        <v>620</v>
      </c>
      <c r="H24" s="386">
        <f t="shared" si="1"/>
        <v>-61.25</v>
      </c>
      <c r="I24" s="302"/>
      <c r="J24" s="309">
        <f t="shared" si="2"/>
        <v>0</v>
      </c>
    </row>
    <row r="25" spans="1:10" s="4" customFormat="1" ht="31.5" x14ac:dyDescent="0.25">
      <c r="A25" s="310">
        <v>1</v>
      </c>
      <c r="B25" s="310" t="s">
        <v>429</v>
      </c>
      <c r="C25" s="300"/>
      <c r="D25" s="301">
        <v>1040</v>
      </c>
      <c r="E25" s="301">
        <v>0</v>
      </c>
      <c r="F25" s="384">
        <v>0</v>
      </c>
      <c r="G25" s="389">
        <f t="shared" si="0"/>
        <v>0</v>
      </c>
      <c r="H25" s="386">
        <f t="shared" si="1"/>
        <v>-100</v>
      </c>
      <c r="I25" s="302"/>
      <c r="J25" s="309">
        <f t="shared" si="2"/>
        <v>0</v>
      </c>
    </row>
    <row r="26" spans="1:10" s="4" customFormat="1" ht="63" x14ac:dyDescent="0.25">
      <c r="A26" s="310">
        <v>1</v>
      </c>
      <c r="B26" s="310" t="s">
        <v>430</v>
      </c>
      <c r="C26" s="300"/>
      <c r="D26" s="301">
        <v>6600</v>
      </c>
      <c r="E26" s="301">
        <v>4160</v>
      </c>
      <c r="F26" s="384">
        <f>6300-E26</f>
        <v>2140</v>
      </c>
      <c r="G26" s="389">
        <f t="shared" si="0"/>
        <v>6300</v>
      </c>
      <c r="H26" s="386">
        <f t="shared" si="1"/>
        <v>-4.5454545454545467</v>
      </c>
      <c r="I26" s="302"/>
      <c r="J26" s="309">
        <f t="shared" si="2"/>
        <v>0</v>
      </c>
    </row>
    <row r="27" spans="1:10" s="4" customFormat="1" ht="126" x14ac:dyDescent="0.25">
      <c r="A27" s="310">
        <v>1</v>
      </c>
      <c r="B27" s="310" t="s">
        <v>431</v>
      </c>
      <c r="C27" s="300"/>
      <c r="D27" s="301">
        <v>3600</v>
      </c>
      <c r="E27" s="301">
        <v>2268</v>
      </c>
      <c r="F27" s="384">
        <f>3600-E27</f>
        <v>1332</v>
      </c>
      <c r="G27" s="389">
        <f t="shared" si="0"/>
        <v>3600</v>
      </c>
      <c r="H27" s="386">
        <f t="shared" si="1"/>
        <v>0</v>
      </c>
      <c r="I27" s="302"/>
      <c r="J27" s="309">
        <f t="shared" si="2"/>
        <v>0</v>
      </c>
    </row>
    <row r="28" spans="1:10" s="4" customFormat="1" ht="47.25" x14ac:dyDescent="0.25">
      <c r="A28" s="310">
        <v>1</v>
      </c>
      <c r="B28" s="310" t="s">
        <v>432</v>
      </c>
      <c r="C28" s="300"/>
      <c r="D28" s="301">
        <v>300</v>
      </c>
      <c r="E28" s="301">
        <v>240</v>
      </c>
      <c r="F28" s="384">
        <v>0</v>
      </c>
      <c r="G28" s="389">
        <f t="shared" si="0"/>
        <v>240</v>
      </c>
      <c r="H28" s="386">
        <f t="shared" si="1"/>
        <v>-20</v>
      </c>
      <c r="I28" s="302"/>
      <c r="J28" s="309">
        <f t="shared" si="2"/>
        <v>0</v>
      </c>
    </row>
    <row r="29" spans="1:10" s="4" customFormat="1" ht="47.25" x14ac:dyDescent="0.25">
      <c r="A29" s="310">
        <v>12</v>
      </c>
      <c r="B29" s="310" t="s">
        <v>435</v>
      </c>
      <c r="C29" s="300"/>
      <c r="D29" s="301">
        <v>8000</v>
      </c>
      <c r="E29" s="301">
        <v>6245.5</v>
      </c>
      <c r="F29" s="383">
        <f>10600-E29</f>
        <v>4354.5</v>
      </c>
      <c r="G29" s="389">
        <f t="shared" si="0"/>
        <v>10600</v>
      </c>
      <c r="H29" s="386">
        <f t="shared" si="1"/>
        <v>32.5</v>
      </c>
      <c r="I29" s="302"/>
      <c r="J29" s="309">
        <f t="shared" si="2"/>
        <v>0</v>
      </c>
    </row>
    <row r="30" spans="1:10" s="4" customFormat="1" ht="31.5" x14ac:dyDescent="0.25">
      <c r="A30" s="310">
        <v>1</v>
      </c>
      <c r="B30" s="310" t="s">
        <v>437</v>
      </c>
      <c r="C30" s="300"/>
      <c r="D30" s="301">
        <v>3000</v>
      </c>
      <c r="E30" s="301">
        <v>217.77</v>
      </c>
      <c r="F30" s="384">
        <f>1000-E30</f>
        <v>782.23</v>
      </c>
      <c r="G30" s="389">
        <f t="shared" si="0"/>
        <v>1000</v>
      </c>
      <c r="H30" s="386">
        <f t="shared" si="1"/>
        <v>-66.666666666666671</v>
      </c>
      <c r="I30" s="302"/>
      <c r="J30" s="309">
        <f t="shared" si="2"/>
        <v>0</v>
      </c>
    </row>
    <row r="31" spans="1:10" s="4" customFormat="1" ht="47.25" x14ac:dyDescent="0.25">
      <c r="A31" s="12">
        <v>1</v>
      </c>
      <c r="B31" s="12" t="s">
        <v>438</v>
      </c>
      <c r="C31" s="300"/>
      <c r="D31" s="301">
        <v>25000</v>
      </c>
      <c r="E31" s="301">
        <v>0</v>
      </c>
      <c r="F31" s="384">
        <v>0</v>
      </c>
      <c r="G31" s="389">
        <f t="shared" si="0"/>
        <v>0</v>
      </c>
      <c r="H31" s="386">
        <f t="shared" si="1"/>
        <v>-100</v>
      </c>
      <c r="I31" s="302"/>
      <c r="J31" s="309">
        <f t="shared" si="2"/>
        <v>0</v>
      </c>
    </row>
    <row r="32" spans="1:10" s="4" customFormat="1" ht="31.5" x14ac:dyDescent="0.25">
      <c r="A32" s="12">
        <v>1</v>
      </c>
      <c r="B32" s="12" t="s">
        <v>439</v>
      </c>
      <c r="C32" s="300"/>
      <c r="D32" s="301">
        <v>4000</v>
      </c>
      <c r="E32" s="301">
        <v>0</v>
      </c>
      <c r="F32" s="384">
        <v>3300</v>
      </c>
      <c r="G32" s="389">
        <f t="shared" si="0"/>
        <v>3300</v>
      </c>
      <c r="H32" s="386">
        <f t="shared" si="1"/>
        <v>-17.5</v>
      </c>
      <c r="I32" s="302"/>
      <c r="J32" s="309">
        <f t="shared" si="2"/>
        <v>0</v>
      </c>
    </row>
    <row r="33" spans="1:10" ht="63" x14ac:dyDescent="0.25">
      <c r="A33" s="12">
        <v>1</v>
      </c>
      <c r="B33" s="12" t="s">
        <v>440</v>
      </c>
      <c r="C33" s="300"/>
      <c r="D33" s="301">
        <v>10000</v>
      </c>
      <c r="E33" s="301">
        <v>0</v>
      </c>
      <c r="F33" s="384">
        <v>0</v>
      </c>
      <c r="G33" s="389">
        <f t="shared" si="0"/>
        <v>0</v>
      </c>
      <c r="H33" s="386">
        <f t="shared" si="1"/>
        <v>-100</v>
      </c>
      <c r="I33" s="302"/>
      <c r="J33" s="309">
        <f t="shared" si="2"/>
        <v>0</v>
      </c>
    </row>
    <row r="34" spans="1:10" ht="31.5" x14ac:dyDescent="0.25">
      <c r="A34" s="12">
        <v>1</v>
      </c>
      <c r="B34" s="12" t="s">
        <v>562</v>
      </c>
      <c r="C34" s="300"/>
      <c r="D34" s="301">
        <v>100000</v>
      </c>
      <c r="E34" s="301">
        <v>0</v>
      </c>
      <c r="F34" s="383">
        <v>0</v>
      </c>
      <c r="G34" s="389">
        <f t="shared" si="0"/>
        <v>0</v>
      </c>
      <c r="H34" s="386">
        <f t="shared" si="1"/>
        <v>-100</v>
      </c>
      <c r="I34" s="302"/>
      <c r="J34" s="309">
        <f t="shared" si="2"/>
        <v>0</v>
      </c>
    </row>
    <row r="35" spans="1:10" ht="47.25" x14ac:dyDescent="0.25">
      <c r="A35" s="12">
        <v>1</v>
      </c>
      <c r="B35" s="12" t="s">
        <v>442</v>
      </c>
      <c r="C35" s="300"/>
      <c r="D35" s="301">
        <v>18000</v>
      </c>
      <c r="E35" s="301">
        <v>9300</v>
      </c>
      <c r="F35" s="384">
        <v>0</v>
      </c>
      <c r="G35" s="389">
        <f t="shared" si="0"/>
        <v>9300</v>
      </c>
      <c r="H35" s="386">
        <f t="shared" si="1"/>
        <v>-48.333333333333329</v>
      </c>
      <c r="I35" s="302"/>
      <c r="J35" s="309">
        <f t="shared" si="2"/>
        <v>0</v>
      </c>
    </row>
    <row r="36" spans="1:10" ht="31.5" x14ac:dyDescent="0.25">
      <c r="A36" s="12">
        <v>1</v>
      </c>
      <c r="B36" s="313" t="s">
        <v>623</v>
      </c>
      <c r="C36" s="300"/>
      <c r="D36" s="301">
        <v>0</v>
      </c>
      <c r="E36" s="301">
        <v>900</v>
      </c>
      <c r="F36" s="384">
        <f>1620-E36</f>
        <v>720</v>
      </c>
      <c r="G36" s="389">
        <f t="shared" si="0"/>
        <v>1620</v>
      </c>
      <c r="H36" s="386">
        <f t="shared" si="1"/>
        <v>0</v>
      </c>
      <c r="I36" s="302"/>
      <c r="J36" s="309">
        <f t="shared" si="2"/>
        <v>0</v>
      </c>
    </row>
    <row r="37" spans="1:10" ht="31.5" x14ac:dyDescent="0.25">
      <c r="A37" s="12">
        <v>1</v>
      </c>
      <c r="B37" s="313" t="s">
        <v>620</v>
      </c>
      <c r="C37" s="300"/>
      <c r="D37" s="301">
        <v>0</v>
      </c>
      <c r="E37" s="301">
        <v>1286</v>
      </c>
      <c r="F37" s="384">
        <v>0</v>
      </c>
      <c r="G37" s="389">
        <f t="shared" si="0"/>
        <v>1286</v>
      </c>
      <c r="H37" s="386">
        <f t="shared" si="1"/>
        <v>0</v>
      </c>
      <c r="I37" s="302" t="s">
        <v>626</v>
      </c>
      <c r="J37" s="309">
        <f t="shared" si="2"/>
        <v>0</v>
      </c>
    </row>
    <row r="38" spans="1:10" ht="31.5" x14ac:dyDescent="0.25">
      <c r="A38" s="12">
        <v>1</v>
      </c>
      <c r="B38" s="313" t="s">
        <v>622</v>
      </c>
      <c r="C38" s="300"/>
      <c r="D38" s="301">
        <v>0</v>
      </c>
      <c r="E38" s="301">
        <v>1432</v>
      </c>
      <c r="F38" s="384">
        <v>0</v>
      </c>
      <c r="G38" s="389">
        <f t="shared" si="0"/>
        <v>1432</v>
      </c>
      <c r="H38" s="386">
        <f t="shared" si="1"/>
        <v>0</v>
      </c>
      <c r="I38" s="302"/>
      <c r="J38" s="309">
        <f t="shared" si="2"/>
        <v>0</v>
      </c>
    </row>
    <row r="39" spans="1:10" s="4" customFormat="1" ht="31.5" x14ac:dyDescent="0.25">
      <c r="A39" s="12">
        <v>1</v>
      </c>
      <c r="B39" s="313" t="s">
        <v>682</v>
      </c>
      <c r="C39" s="300"/>
      <c r="D39" s="301">
        <v>0</v>
      </c>
      <c r="E39" s="301">
        <v>0</v>
      </c>
      <c r="F39" s="384">
        <v>20000</v>
      </c>
      <c r="G39" s="389">
        <f t="shared" ref="G39" si="3">E39+F39</f>
        <v>20000</v>
      </c>
      <c r="H39" s="386">
        <f t="shared" ref="H39" si="4">IFERROR(G39/D39*100-100,0)</f>
        <v>0</v>
      </c>
      <c r="I39" s="302" t="s">
        <v>626</v>
      </c>
      <c r="J39" s="309">
        <f t="shared" ref="J39" si="5">IFERROR(I39/G39*100,)</f>
        <v>0</v>
      </c>
    </row>
    <row r="40" spans="1:10" ht="26.25" x14ac:dyDescent="0.25">
      <c r="A40" s="539" t="s">
        <v>0</v>
      </c>
      <c r="B40" s="539"/>
      <c r="C40" s="539"/>
      <c r="D40" s="304">
        <f>SUM(D9:D39)</f>
        <v>772200</v>
      </c>
      <c r="E40" s="304">
        <f>SUM(E9:E39)</f>
        <v>420657.99</v>
      </c>
      <c r="F40" s="385">
        <f>SUM(F9:F39)</f>
        <v>236958.04</v>
      </c>
      <c r="G40" s="390">
        <f>SUM(G9:G39)</f>
        <v>657616.02999999991</v>
      </c>
      <c r="H40" s="387">
        <f t="shared" ref="H40" si="6">IFERROR(G40/D40*100-100,0)</f>
        <v>-14.838638953638963</v>
      </c>
      <c r="I40" s="304">
        <f>SUM(I9:I38)</f>
        <v>0</v>
      </c>
      <c r="J40" s="304">
        <f t="shared" ref="J40" si="7">IFERROR(I40/G40*100,)</f>
        <v>0</v>
      </c>
    </row>
    <row r="42" spans="1:10" s="4" customFormat="1" ht="26.25" x14ac:dyDescent="0.25">
      <c r="A42" s="521" t="s">
        <v>419</v>
      </c>
      <c r="B42" s="522"/>
      <c r="C42" s="523" t="s">
        <v>445</v>
      </c>
      <c r="D42" s="524"/>
      <c r="E42" s="524"/>
      <c r="F42" s="524"/>
      <c r="G42" s="524"/>
      <c r="H42" s="524"/>
      <c r="I42" s="524"/>
      <c r="J42" s="525"/>
    </row>
    <row r="43" spans="1:10" s="4" customFormat="1" ht="26.25" x14ac:dyDescent="0.25">
      <c r="A43" s="522" t="s">
        <v>34</v>
      </c>
      <c r="B43" s="522"/>
      <c r="C43" s="526" t="s">
        <v>109</v>
      </c>
      <c r="D43" s="526"/>
      <c r="E43" s="526"/>
      <c r="F43" s="526"/>
      <c r="G43" s="526"/>
      <c r="H43" s="526"/>
      <c r="I43" s="526"/>
      <c r="J43" s="527"/>
    </row>
    <row r="44" spans="1:10" s="4" customFormat="1" ht="26.25" x14ac:dyDescent="0.25">
      <c r="A44" s="296"/>
      <c r="B44" s="296"/>
      <c r="C44" s="296"/>
      <c r="D44" s="297"/>
      <c r="E44" s="297"/>
      <c r="F44" s="297"/>
      <c r="G44" s="297"/>
      <c r="H44" s="297"/>
      <c r="I44" s="297" t="s">
        <v>601</v>
      </c>
      <c r="J44" s="297"/>
    </row>
    <row r="45" spans="1:10" s="4" customFormat="1" ht="26.25" x14ac:dyDescent="0.25">
      <c r="A45" s="528" t="s">
        <v>413</v>
      </c>
      <c r="B45" s="529"/>
      <c r="C45" s="529"/>
      <c r="D45" s="528" t="s">
        <v>414</v>
      </c>
      <c r="E45" s="529"/>
      <c r="F45" s="529"/>
      <c r="G45" s="529"/>
      <c r="H45" s="530"/>
      <c r="I45" s="531" t="s">
        <v>602</v>
      </c>
      <c r="J45" s="532"/>
    </row>
    <row r="46" spans="1:10" s="4" customFormat="1" ht="26.25" x14ac:dyDescent="0.25">
      <c r="A46" s="528" t="s">
        <v>415</v>
      </c>
      <c r="B46" s="529"/>
      <c r="C46" s="530"/>
      <c r="D46" s="533" t="s">
        <v>603</v>
      </c>
      <c r="E46" s="528" t="s">
        <v>604</v>
      </c>
      <c r="F46" s="529"/>
      <c r="G46" s="535"/>
      <c r="H46" s="536" t="s">
        <v>605</v>
      </c>
      <c r="I46" s="537" t="s">
        <v>606</v>
      </c>
      <c r="J46" s="537" t="s">
        <v>607</v>
      </c>
    </row>
    <row r="47" spans="1:10" s="4" customFormat="1" ht="78.75" x14ac:dyDescent="0.25">
      <c r="A47" s="298" t="s">
        <v>416</v>
      </c>
      <c r="B47" s="298" t="s">
        <v>417</v>
      </c>
      <c r="C47" s="299" t="s">
        <v>418</v>
      </c>
      <c r="D47" s="534"/>
      <c r="E47" s="340" t="s">
        <v>675</v>
      </c>
      <c r="F47" s="382" t="s">
        <v>676</v>
      </c>
      <c r="G47" s="388" t="s">
        <v>608</v>
      </c>
      <c r="H47" s="530"/>
      <c r="I47" s="538"/>
      <c r="J47" s="538"/>
    </row>
    <row r="48" spans="1:10" s="4" customFormat="1" ht="94.5" x14ac:dyDescent="0.25">
      <c r="A48" s="310">
        <v>12</v>
      </c>
      <c r="B48" s="310" t="s">
        <v>446</v>
      </c>
      <c r="C48" s="306"/>
      <c r="D48" s="307">
        <v>156640</v>
      </c>
      <c r="E48" s="307">
        <v>108733.09</v>
      </c>
      <c r="F48" s="383">
        <f>157900-E48</f>
        <v>49166.91</v>
      </c>
      <c r="G48" s="389">
        <f>E48+F48</f>
        <v>157900</v>
      </c>
      <c r="H48" s="386">
        <f>IFERROR(G48/D48*100-100,0)</f>
        <v>0.80439223697649709</v>
      </c>
      <c r="I48" s="308"/>
      <c r="J48" s="309">
        <f>IFERROR(I48/G48*100,)</f>
        <v>0</v>
      </c>
    </row>
    <row r="49" spans="1:10" s="4" customFormat="1" ht="110.25" x14ac:dyDescent="0.25">
      <c r="A49" s="310">
        <v>12</v>
      </c>
      <c r="B49" s="310" t="s">
        <v>555</v>
      </c>
      <c r="C49" s="300"/>
      <c r="D49" s="301">
        <v>14400</v>
      </c>
      <c r="E49" s="301">
        <v>9600</v>
      </c>
      <c r="F49" s="384">
        <f>14400-E49</f>
        <v>4800</v>
      </c>
      <c r="G49" s="389">
        <f t="shared" ref="G49:G56" si="8">E49+F49</f>
        <v>14400</v>
      </c>
      <c r="H49" s="386">
        <f t="shared" ref="H49:H57" si="9">IFERROR(G49/D49*100-100,0)</f>
        <v>0</v>
      </c>
      <c r="I49" s="302"/>
      <c r="J49" s="303">
        <f t="shared" ref="J49:J57" si="10">IFERROR(I49/G49*100,)</f>
        <v>0</v>
      </c>
    </row>
    <row r="50" spans="1:10" s="4" customFormat="1" ht="26.25" x14ac:dyDescent="0.25">
      <c r="A50" s="310">
        <v>12</v>
      </c>
      <c r="B50" s="310" t="s">
        <v>426</v>
      </c>
      <c r="C50" s="300"/>
      <c r="D50" s="301">
        <v>900</v>
      </c>
      <c r="E50" s="301">
        <v>103.5</v>
      </c>
      <c r="F50" s="384">
        <f>200-E50</f>
        <v>96.5</v>
      </c>
      <c r="G50" s="389">
        <f t="shared" si="8"/>
        <v>200</v>
      </c>
      <c r="H50" s="386">
        <f t="shared" si="9"/>
        <v>-77.777777777777771</v>
      </c>
      <c r="I50" s="302"/>
      <c r="J50" s="303">
        <f t="shared" si="10"/>
        <v>0</v>
      </c>
    </row>
    <row r="51" spans="1:10" s="4" customFormat="1" ht="47.25" x14ac:dyDescent="0.25">
      <c r="A51" s="310">
        <v>12</v>
      </c>
      <c r="B51" s="310" t="s">
        <v>447</v>
      </c>
      <c r="C51" s="300"/>
      <c r="D51" s="301">
        <v>16000</v>
      </c>
      <c r="E51" s="301">
        <v>11834.3</v>
      </c>
      <c r="F51" s="383">
        <f>10600+8200-E51</f>
        <v>6965.7000000000007</v>
      </c>
      <c r="G51" s="389">
        <f t="shared" si="8"/>
        <v>18800</v>
      </c>
      <c r="H51" s="386">
        <f t="shared" si="9"/>
        <v>17.5</v>
      </c>
      <c r="I51" s="302"/>
      <c r="J51" s="303">
        <f t="shared" si="10"/>
        <v>0</v>
      </c>
    </row>
    <row r="52" spans="1:10" s="4" customFormat="1" ht="31.5" x14ac:dyDescent="0.25">
      <c r="A52" s="310">
        <v>12</v>
      </c>
      <c r="B52" s="310" t="s">
        <v>448</v>
      </c>
      <c r="C52" s="300"/>
      <c r="D52" s="301">
        <v>3094.56</v>
      </c>
      <c r="E52" s="301">
        <v>1156.2</v>
      </c>
      <c r="F52" s="384">
        <f>149.72+149.72</f>
        <v>299.44</v>
      </c>
      <c r="G52" s="389">
        <f t="shared" si="8"/>
        <v>1455.64</v>
      </c>
      <c r="H52" s="386">
        <f t="shared" si="9"/>
        <v>-52.961325681195383</v>
      </c>
      <c r="I52" s="302"/>
      <c r="J52" s="303">
        <f t="shared" si="10"/>
        <v>0</v>
      </c>
    </row>
    <row r="53" spans="1:10" s="4" customFormat="1" ht="47.25" x14ac:dyDescent="0.25">
      <c r="A53" s="310">
        <v>12</v>
      </c>
      <c r="B53" s="310" t="s">
        <v>449</v>
      </c>
      <c r="C53" s="300"/>
      <c r="D53" s="301">
        <v>2500</v>
      </c>
      <c r="E53" s="301">
        <v>1200</v>
      </c>
      <c r="F53" s="384">
        <f>2000-E53</f>
        <v>800</v>
      </c>
      <c r="G53" s="389">
        <f t="shared" si="8"/>
        <v>2000</v>
      </c>
      <c r="H53" s="386">
        <f t="shared" si="9"/>
        <v>-20</v>
      </c>
      <c r="I53" s="302"/>
      <c r="J53" s="303">
        <f t="shared" si="10"/>
        <v>0</v>
      </c>
    </row>
    <row r="54" spans="1:10" s="4" customFormat="1" ht="31.5" x14ac:dyDescent="0.25">
      <c r="A54" s="310">
        <v>1</v>
      </c>
      <c r="B54" s="310" t="s">
        <v>557</v>
      </c>
      <c r="C54" s="300"/>
      <c r="D54" s="301">
        <v>25000</v>
      </c>
      <c r="E54" s="301">
        <v>0</v>
      </c>
      <c r="F54" s="384">
        <v>0</v>
      </c>
      <c r="G54" s="389">
        <f t="shared" si="8"/>
        <v>0</v>
      </c>
      <c r="H54" s="386">
        <f t="shared" si="9"/>
        <v>-100</v>
      </c>
      <c r="I54" s="302"/>
      <c r="J54" s="303">
        <f t="shared" si="10"/>
        <v>0</v>
      </c>
    </row>
    <row r="55" spans="1:10" s="4" customFormat="1" ht="31.5" x14ac:dyDescent="0.25">
      <c r="A55" s="310">
        <v>1</v>
      </c>
      <c r="B55" s="313" t="s">
        <v>620</v>
      </c>
      <c r="C55" s="300"/>
      <c r="D55" s="301">
        <v>0</v>
      </c>
      <c r="E55" s="301">
        <v>2443.1</v>
      </c>
      <c r="F55" s="384">
        <v>0</v>
      </c>
      <c r="G55" s="389">
        <f t="shared" si="8"/>
        <v>2443.1</v>
      </c>
      <c r="H55" s="386">
        <f t="shared" si="9"/>
        <v>0</v>
      </c>
      <c r="I55" s="302" t="s">
        <v>626</v>
      </c>
      <c r="J55" s="303">
        <f t="shared" si="10"/>
        <v>0</v>
      </c>
    </row>
    <row r="56" spans="1:10" s="4" customFormat="1" ht="31.5" x14ac:dyDescent="0.25">
      <c r="A56" s="310">
        <v>1</v>
      </c>
      <c r="B56" s="313" t="s">
        <v>621</v>
      </c>
      <c r="C56" s="300"/>
      <c r="D56" s="301">
        <v>0</v>
      </c>
      <c r="E56" s="301"/>
      <c r="F56" s="383">
        <v>3324.9</v>
      </c>
      <c r="G56" s="389">
        <f t="shared" si="8"/>
        <v>3324.9</v>
      </c>
      <c r="H56" s="386">
        <f t="shared" si="9"/>
        <v>0</v>
      </c>
      <c r="I56" s="302" t="s">
        <v>626</v>
      </c>
      <c r="J56" s="303">
        <f t="shared" si="10"/>
        <v>0</v>
      </c>
    </row>
    <row r="57" spans="1:10" s="4" customFormat="1" ht="26.25" x14ac:dyDescent="0.25">
      <c r="A57" s="539" t="s">
        <v>0</v>
      </c>
      <c r="B57" s="539"/>
      <c r="C57" s="539"/>
      <c r="D57" s="304">
        <f>SUM(D48:D56)</f>
        <v>218534.56</v>
      </c>
      <c r="E57" s="304">
        <f>SUM(E48:E56)</f>
        <v>135070.19</v>
      </c>
      <c r="F57" s="385">
        <f>SUM(F48:F56)</f>
        <v>65453.450000000004</v>
      </c>
      <c r="G57" s="390">
        <f>SUM(G48:G56)</f>
        <v>200523.64</v>
      </c>
      <c r="H57" s="387">
        <f t="shared" si="9"/>
        <v>-8.2416804005736992</v>
      </c>
      <c r="I57" s="304">
        <f>SUM(I48:I56)</f>
        <v>0</v>
      </c>
      <c r="J57" s="304">
        <f t="shared" si="10"/>
        <v>0</v>
      </c>
    </row>
    <row r="58" spans="1:10" s="4" customFormat="1" x14ac:dyDescent="0.25"/>
    <row r="59" spans="1:10" s="4" customFormat="1" ht="26.25" x14ac:dyDescent="0.25">
      <c r="A59" s="521" t="s">
        <v>419</v>
      </c>
      <c r="B59" s="522"/>
      <c r="C59" s="523" t="s">
        <v>450</v>
      </c>
      <c r="D59" s="524"/>
      <c r="E59" s="524"/>
      <c r="F59" s="524"/>
      <c r="G59" s="524"/>
      <c r="H59" s="524"/>
      <c r="I59" s="524"/>
      <c r="J59" s="525"/>
    </row>
    <row r="60" spans="1:10" s="4" customFormat="1" ht="26.25" x14ac:dyDescent="0.25">
      <c r="A60" s="522" t="s">
        <v>34</v>
      </c>
      <c r="B60" s="522"/>
      <c r="C60" s="526" t="s">
        <v>20</v>
      </c>
      <c r="D60" s="526"/>
      <c r="E60" s="526"/>
      <c r="F60" s="526"/>
      <c r="G60" s="526"/>
      <c r="H60" s="526"/>
      <c r="I60" s="526"/>
      <c r="J60" s="527"/>
    </row>
    <row r="61" spans="1:10" s="4" customFormat="1" ht="26.25" x14ac:dyDescent="0.25">
      <c r="A61" s="296"/>
      <c r="B61" s="296"/>
      <c r="C61" s="296"/>
      <c r="D61" s="297"/>
      <c r="E61" s="297"/>
      <c r="F61" s="297"/>
      <c r="G61" s="297"/>
      <c r="H61" s="297"/>
      <c r="I61" s="297" t="s">
        <v>601</v>
      </c>
      <c r="J61" s="297"/>
    </row>
    <row r="62" spans="1:10" s="4" customFormat="1" ht="26.25" x14ac:dyDescent="0.25">
      <c r="A62" s="528" t="s">
        <v>413</v>
      </c>
      <c r="B62" s="529"/>
      <c r="C62" s="529"/>
      <c r="D62" s="528" t="s">
        <v>414</v>
      </c>
      <c r="E62" s="529"/>
      <c r="F62" s="529"/>
      <c r="G62" s="529"/>
      <c r="H62" s="530"/>
      <c r="I62" s="531" t="s">
        <v>602</v>
      </c>
      <c r="J62" s="532"/>
    </row>
    <row r="63" spans="1:10" s="4" customFormat="1" ht="26.25" x14ac:dyDescent="0.25">
      <c r="A63" s="528" t="s">
        <v>415</v>
      </c>
      <c r="B63" s="529"/>
      <c r="C63" s="530"/>
      <c r="D63" s="533" t="s">
        <v>603</v>
      </c>
      <c r="E63" s="528" t="s">
        <v>604</v>
      </c>
      <c r="F63" s="529"/>
      <c r="G63" s="535"/>
      <c r="H63" s="536" t="s">
        <v>605</v>
      </c>
      <c r="I63" s="537" t="s">
        <v>606</v>
      </c>
      <c r="J63" s="537" t="s">
        <v>607</v>
      </c>
    </row>
    <row r="64" spans="1:10" s="4" customFormat="1" ht="78.75" x14ac:dyDescent="0.25">
      <c r="A64" s="298" t="s">
        <v>416</v>
      </c>
      <c r="B64" s="298" t="s">
        <v>417</v>
      </c>
      <c r="C64" s="299" t="s">
        <v>418</v>
      </c>
      <c r="D64" s="534"/>
      <c r="E64" s="340" t="s">
        <v>675</v>
      </c>
      <c r="F64" s="382" t="s">
        <v>676</v>
      </c>
      <c r="G64" s="388" t="s">
        <v>608</v>
      </c>
      <c r="H64" s="530"/>
      <c r="I64" s="538"/>
      <c r="J64" s="538"/>
    </row>
    <row r="65" spans="1:10" s="4" customFormat="1" ht="94.5" x14ac:dyDescent="0.25">
      <c r="A65" s="310">
        <v>12</v>
      </c>
      <c r="B65" s="310" t="s">
        <v>558</v>
      </c>
      <c r="C65" s="306"/>
      <c r="D65" s="307">
        <v>286470</v>
      </c>
      <c r="E65" s="307">
        <v>192954.79</v>
      </c>
      <c r="F65" s="383">
        <f>284300-E65</f>
        <v>91345.209999999992</v>
      </c>
      <c r="G65" s="389">
        <f>E65+F65</f>
        <v>284300</v>
      </c>
      <c r="H65" s="386">
        <f>IFERROR(G65/D65*100-100,0)</f>
        <v>-0.7574964219639071</v>
      </c>
      <c r="I65" s="308"/>
      <c r="J65" s="309">
        <f>IFERROR(I65/G65*100,)</f>
        <v>0</v>
      </c>
    </row>
    <row r="66" spans="1:10" s="4" customFormat="1" ht="110.25" x14ac:dyDescent="0.25">
      <c r="A66" s="310">
        <v>12</v>
      </c>
      <c r="B66" s="310" t="s">
        <v>560</v>
      </c>
      <c r="C66" s="300"/>
      <c r="D66" s="301">
        <v>21600</v>
      </c>
      <c r="E66" s="301">
        <v>14400</v>
      </c>
      <c r="F66" s="384">
        <f>21600-E66</f>
        <v>7200</v>
      </c>
      <c r="G66" s="389">
        <f t="shared" ref="G66:G69" si="11">E66+F66</f>
        <v>21600</v>
      </c>
      <c r="H66" s="386">
        <f t="shared" ref="H66:H69" si="12">IFERROR(G66/D66*100-100,0)</f>
        <v>0</v>
      </c>
      <c r="I66" s="302"/>
      <c r="J66" s="303">
        <f t="shared" ref="J66:J77" si="13">IFERROR(I66/G66*100,)</f>
        <v>0</v>
      </c>
    </row>
    <row r="67" spans="1:10" s="4" customFormat="1" ht="26.25" x14ac:dyDescent="0.25">
      <c r="A67" s="310">
        <v>12</v>
      </c>
      <c r="B67" s="310" t="s">
        <v>426</v>
      </c>
      <c r="C67" s="300"/>
      <c r="D67" s="301">
        <v>900</v>
      </c>
      <c r="E67" s="301">
        <v>691.81</v>
      </c>
      <c r="F67" s="384">
        <f>1000-E67</f>
        <v>308.19000000000005</v>
      </c>
      <c r="G67" s="389">
        <f t="shared" si="11"/>
        <v>1000</v>
      </c>
      <c r="H67" s="386">
        <f t="shared" si="12"/>
        <v>11.111111111111114</v>
      </c>
      <c r="I67" s="302"/>
      <c r="J67" s="303">
        <f t="shared" si="13"/>
        <v>0</v>
      </c>
    </row>
    <row r="68" spans="1:10" s="4" customFormat="1" ht="47.25" x14ac:dyDescent="0.25">
      <c r="A68" s="310">
        <v>12</v>
      </c>
      <c r="B68" s="310" t="s">
        <v>451</v>
      </c>
      <c r="C68" s="300"/>
      <c r="D68" s="301">
        <v>18000</v>
      </c>
      <c r="E68" s="301">
        <v>13550.85</v>
      </c>
      <c r="F68" s="384">
        <f>22000-E68+206.05-149.72</f>
        <v>8505.48</v>
      </c>
      <c r="G68" s="389">
        <f t="shared" si="11"/>
        <v>22056.33</v>
      </c>
      <c r="H68" s="386">
        <f t="shared" si="12"/>
        <v>22.535166666666683</v>
      </c>
      <c r="I68" s="302"/>
      <c r="J68" s="303">
        <f t="shared" si="13"/>
        <v>0</v>
      </c>
    </row>
    <row r="69" spans="1:10" s="4" customFormat="1" ht="94.5" x14ac:dyDescent="0.25">
      <c r="A69" s="310">
        <v>6</v>
      </c>
      <c r="B69" s="337" t="s">
        <v>678</v>
      </c>
      <c r="C69" s="300"/>
      <c r="D69" s="301">
        <v>7300</v>
      </c>
      <c r="E69" s="301">
        <f>1101.66+247.9+277.44</f>
        <v>1627.0000000000002</v>
      </c>
      <c r="F69" s="383">
        <f>3000+277.44+1578.16-E69</f>
        <v>3228.6000000000004</v>
      </c>
      <c r="G69" s="389">
        <f t="shared" si="11"/>
        <v>4855.6000000000004</v>
      </c>
      <c r="H69" s="386">
        <f t="shared" si="12"/>
        <v>-33.484931506849307</v>
      </c>
      <c r="I69" s="302"/>
      <c r="J69" s="303">
        <f t="shared" si="13"/>
        <v>0</v>
      </c>
    </row>
    <row r="70" spans="1:10" s="4" customFormat="1" ht="63" x14ac:dyDescent="0.25">
      <c r="A70" s="310">
        <v>17</v>
      </c>
      <c r="B70" s="310" t="s">
        <v>452</v>
      </c>
      <c r="C70" s="300"/>
      <c r="D70" s="301">
        <v>35000</v>
      </c>
      <c r="E70" s="301">
        <v>14200</v>
      </c>
      <c r="F70" s="383">
        <v>4400</v>
      </c>
      <c r="G70" s="389">
        <f t="shared" ref="G70:G76" si="14">E70+F70</f>
        <v>18600</v>
      </c>
      <c r="H70" s="386">
        <f t="shared" ref="H70:H77" si="15">IFERROR(G70/D70*100-100,0)</f>
        <v>-46.857142857142854</v>
      </c>
      <c r="I70" s="302"/>
      <c r="J70" s="303">
        <f t="shared" si="13"/>
        <v>0</v>
      </c>
    </row>
    <row r="71" spans="1:10" s="4" customFormat="1" ht="78.75" x14ac:dyDescent="0.25">
      <c r="A71" s="310">
        <v>1</v>
      </c>
      <c r="B71" s="310" t="s">
        <v>453</v>
      </c>
      <c r="C71" s="300"/>
      <c r="D71" s="301">
        <v>4200</v>
      </c>
      <c r="E71" s="301">
        <v>4200</v>
      </c>
      <c r="F71" s="384">
        <v>0</v>
      </c>
      <c r="G71" s="389">
        <f t="shared" si="14"/>
        <v>4200</v>
      </c>
      <c r="H71" s="386">
        <f t="shared" si="15"/>
        <v>0</v>
      </c>
      <c r="I71" s="302"/>
      <c r="J71" s="303">
        <f t="shared" si="13"/>
        <v>0</v>
      </c>
    </row>
    <row r="72" spans="1:10" s="4" customFormat="1" ht="78.75" x14ac:dyDescent="0.25">
      <c r="A72" s="310">
        <v>1</v>
      </c>
      <c r="B72" s="310" t="s">
        <v>454</v>
      </c>
      <c r="C72" s="300"/>
      <c r="D72" s="301">
        <v>4000</v>
      </c>
      <c r="E72" s="301">
        <v>5732.86</v>
      </c>
      <c r="F72" s="384">
        <v>0</v>
      </c>
      <c r="G72" s="389">
        <f t="shared" si="14"/>
        <v>5732.86</v>
      </c>
      <c r="H72" s="386">
        <f t="shared" si="15"/>
        <v>43.321499999999986</v>
      </c>
      <c r="I72" s="302"/>
      <c r="J72" s="303">
        <f t="shared" si="13"/>
        <v>0</v>
      </c>
    </row>
    <row r="73" spans="1:10" s="4" customFormat="1" ht="26.25" x14ac:dyDescent="0.25">
      <c r="A73" s="310">
        <v>12</v>
      </c>
      <c r="B73" s="310" t="s">
        <v>371</v>
      </c>
      <c r="C73" s="300"/>
      <c r="D73" s="301">
        <v>5000</v>
      </c>
      <c r="E73" s="301">
        <v>1959.37</v>
      </c>
      <c r="F73" s="384">
        <v>514.5</v>
      </c>
      <c r="G73" s="389">
        <f t="shared" si="14"/>
        <v>2473.87</v>
      </c>
      <c r="H73" s="386">
        <f t="shared" si="15"/>
        <v>-50.522600000000004</v>
      </c>
      <c r="I73" s="302"/>
      <c r="J73" s="303">
        <f t="shared" si="13"/>
        <v>0</v>
      </c>
    </row>
    <row r="74" spans="1:10" s="4" customFormat="1" ht="108.75" customHeight="1" x14ac:dyDescent="0.25">
      <c r="A74" s="310">
        <v>12</v>
      </c>
      <c r="B74" s="310" t="s">
        <v>556</v>
      </c>
      <c r="C74" s="300"/>
      <c r="D74" s="301">
        <v>360</v>
      </c>
      <c r="E74" s="301">
        <v>360</v>
      </c>
      <c r="F74" s="384">
        <v>0</v>
      </c>
      <c r="G74" s="389">
        <f t="shared" si="14"/>
        <v>360</v>
      </c>
      <c r="H74" s="386">
        <f t="shared" si="15"/>
        <v>0</v>
      </c>
      <c r="I74" s="302"/>
      <c r="J74" s="303">
        <f t="shared" si="13"/>
        <v>0</v>
      </c>
    </row>
    <row r="75" spans="1:10" s="4" customFormat="1" ht="31.5" x14ac:dyDescent="0.25">
      <c r="A75" s="310">
        <v>1</v>
      </c>
      <c r="B75" s="313" t="s">
        <v>619</v>
      </c>
      <c r="C75" s="300"/>
      <c r="D75" s="301">
        <v>0</v>
      </c>
      <c r="E75" s="301">
        <v>2980</v>
      </c>
      <c r="F75" s="384">
        <v>0</v>
      </c>
      <c r="G75" s="389">
        <f t="shared" si="14"/>
        <v>2980</v>
      </c>
      <c r="H75" s="386">
        <f t="shared" si="15"/>
        <v>0</v>
      </c>
      <c r="I75" s="302"/>
      <c r="J75" s="303">
        <f t="shared" si="13"/>
        <v>0</v>
      </c>
    </row>
    <row r="76" spans="1:10" s="4" customFormat="1" ht="26.25" x14ac:dyDescent="0.25">
      <c r="A76" s="310">
        <v>1</v>
      </c>
      <c r="B76" s="313" t="s">
        <v>624</v>
      </c>
      <c r="C76" s="300"/>
      <c r="D76" s="301">
        <v>0</v>
      </c>
      <c r="E76" s="301">
        <v>1650</v>
      </c>
      <c r="F76" s="384">
        <v>960</v>
      </c>
      <c r="G76" s="389">
        <f t="shared" si="14"/>
        <v>2610</v>
      </c>
      <c r="H76" s="386">
        <f t="shared" si="15"/>
        <v>0</v>
      </c>
      <c r="I76" s="302"/>
      <c r="J76" s="303">
        <f t="shared" si="13"/>
        <v>0</v>
      </c>
    </row>
    <row r="77" spans="1:10" s="4" customFormat="1" ht="26.25" x14ac:dyDescent="0.25">
      <c r="A77" s="539" t="s">
        <v>0</v>
      </c>
      <c r="B77" s="539"/>
      <c r="C77" s="539"/>
      <c r="D77" s="304">
        <f>SUM(D65:D76)</f>
        <v>382830</v>
      </c>
      <c r="E77" s="304">
        <f t="shared" ref="E77:G77" si="16">SUM(E65:E76)</f>
        <v>254306.68</v>
      </c>
      <c r="F77" s="385">
        <f t="shared" si="16"/>
        <v>116461.98</v>
      </c>
      <c r="G77" s="390">
        <f t="shared" si="16"/>
        <v>370768.66</v>
      </c>
      <c r="H77" s="387">
        <f t="shared" si="15"/>
        <v>-3.1505733615442892</v>
      </c>
      <c r="I77" s="304">
        <f t="shared" ref="I77" si="17">SUM(I65:I76)</f>
        <v>0</v>
      </c>
      <c r="J77" s="304">
        <f t="shared" si="13"/>
        <v>0</v>
      </c>
    </row>
    <row r="78" spans="1:10" s="4" customFormat="1" x14ac:dyDescent="0.25"/>
    <row r="79" spans="1:10" s="4" customFormat="1" ht="26.25" x14ac:dyDescent="0.25">
      <c r="A79" s="521" t="s">
        <v>419</v>
      </c>
      <c r="B79" s="522"/>
      <c r="C79" s="523" t="s">
        <v>455</v>
      </c>
      <c r="D79" s="524"/>
      <c r="E79" s="524"/>
      <c r="F79" s="524"/>
      <c r="G79" s="524"/>
      <c r="H79" s="524"/>
      <c r="I79" s="524"/>
      <c r="J79" s="525"/>
    </row>
    <row r="80" spans="1:10" s="4" customFormat="1" ht="26.25" x14ac:dyDescent="0.25">
      <c r="A80" s="522" t="s">
        <v>34</v>
      </c>
      <c r="B80" s="522"/>
      <c r="C80" s="526" t="s">
        <v>25</v>
      </c>
      <c r="D80" s="526"/>
      <c r="E80" s="526"/>
      <c r="F80" s="526"/>
      <c r="G80" s="526"/>
      <c r="H80" s="526"/>
      <c r="I80" s="526"/>
      <c r="J80" s="527"/>
    </row>
    <row r="81" spans="1:10" s="4" customFormat="1" ht="26.25" x14ac:dyDescent="0.25">
      <c r="A81" s="296"/>
      <c r="B81" s="296"/>
      <c r="C81" s="296"/>
      <c r="D81" s="297"/>
      <c r="E81" s="297"/>
      <c r="F81" s="297"/>
      <c r="G81" s="297"/>
      <c r="H81" s="297"/>
      <c r="I81" s="297" t="s">
        <v>601</v>
      </c>
      <c r="J81" s="297"/>
    </row>
    <row r="82" spans="1:10" s="4" customFormat="1" ht="26.25" x14ac:dyDescent="0.25">
      <c r="A82" s="528" t="s">
        <v>413</v>
      </c>
      <c r="B82" s="529"/>
      <c r="C82" s="529"/>
      <c r="D82" s="528" t="s">
        <v>414</v>
      </c>
      <c r="E82" s="529"/>
      <c r="F82" s="529"/>
      <c r="G82" s="529"/>
      <c r="H82" s="530"/>
      <c r="I82" s="531" t="s">
        <v>602</v>
      </c>
      <c r="J82" s="532"/>
    </row>
    <row r="83" spans="1:10" s="4" customFormat="1" ht="26.25" x14ac:dyDescent="0.25">
      <c r="A83" s="528" t="s">
        <v>415</v>
      </c>
      <c r="B83" s="529"/>
      <c r="C83" s="530"/>
      <c r="D83" s="533" t="s">
        <v>603</v>
      </c>
      <c r="E83" s="528" t="s">
        <v>604</v>
      </c>
      <c r="F83" s="529"/>
      <c r="G83" s="535"/>
      <c r="H83" s="536" t="s">
        <v>605</v>
      </c>
      <c r="I83" s="537" t="s">
        <v>606</v>
      </c>
      <c r="J83" s="537" t="s">
        <v>607</v>
      </c>
    </row>
    <row r="84" spans="1:10" s="4" customFormat="1" ht="78.75" x14ac:dyDescent="0.25">
      <c r="A84" s="298" t="s">
        <v>416</v>
      </c>
      <c r="B84" s="298" t="s">
        <v>417</v>
      </c>
      <c r="C84" s="299" t="s">
        <v>418</v>
      </c>
      <c r="D84" s="534"/>
      <c r="E84" s="340" t="s">
        <v>675</v>
      </c>
      <c r="F84" s="382" t="s">
        <v>676</v>
      </c>
      <c r="G84" s="388" t="s">
        <v>608</v>
      </c>
      <c r="H84" s="530"/>
      <c r="I84" s="538"/>
      <c r="J84" s="538"/>
    </row>
    <row r="85" spans="1:10" s="4" customFormat="1" ht="94.5" x14ac:dyDescent="0.25">
      <c r="A85" s="310">
        <v>12</v>
      </c>
      <c r="B85" s="310" t="s">
        <v>456</v>
      </c>
      <c r="C85" s="306"/>
      <c r="D85" s="307">
        <v>92490</v>
      </c>
      <c r="E85" s="307">
        <v>60834.98</v>
      </c>
      <c r="F85" s="383">
        <f>92400-E85</f>
        <v>31565.019999999997</v>
      </c>
      <c r="G85" s="389">
        <f>E85+F85</f>
        <v>92400</v>
      </c>
      <c r="H85" s="386">
        <f>IFERROR(G85/D85*100-100,0)</f>
        <v>-9.7307817061292212E-2</v>
      </c>
      <c r="I85" s="308"/>
      <c r="J85" s="309">
        <f>IFERROR(I85/G85*100,)</f>
        <v>0</v>
      </c>
    </row>
    <row r="86" spans="1:10" s="4" customFormat="1" ht="110.25" x14ac:dyDescent="0.25">
      <c r="A86" s="310">
        <v>12</v>
      </c>
      <c r="B86" s="310" t="s">
        <v>457</v>
      </c>
      <c r="C86" s="300"/>
      <c r="D86" s="301">
        <v>14400</v>
      </c>
      <c r="E86" s="301">
        <v>9600</v>
      </c>
      <c r="F86" s="384">
        <f>D86-E86</f>
        <v>4800</v>
      </c>
      <c r="G86" s="389">
        <f t="shared" ref="G86:G91" si="18">E86+F86</f>
        <v>14400</v>
      </c>
      <c r="H86" s="386">
        <f t="shared" ref="H86:H92" si="19">IFERROR(G86/D86*100-100,0)</f>
        <v>0</v>
      </c>
      <c r="I86" s="302"/>
      <c r="J86" s="303">
        <f t="shared" ref="J86:J92" si="20">IFERROR(I86/G86*100,)</f>
        <v>0</v>
      </c>
    </row>
    <row r="87" spans="1:10" s="4" customFormat="1" ht="26.25" x14ac:dyDescent="0.25">
      <c r="A87" s="310">
        <v>12</v>
      </c>
      <c r="B87" s="310" t="s">
        <v>426</v>
      </c>
      <c r="C87" s="300"/>
      <c r="D87" s="301">
        <v>900</v>
      </c>
      <c r="E87" s="301">
        <v>552.41999999999996</v>
      </c>
      <c r="F87" s="384">
        <f>900-E87</f>
        <v>347.58000000000004</v>
      </c>
      <c r="G87" s="389">
        <f t="shared" si="18"/>
        <v>900</v>
      </c>
      <c r="H87" s="386">
        <f t="shared" si="19"/>
        <v>0</v>
      </c>
      <c r="I87" s="302"/>
      <c r="J87" s="303">
        <f t="shared" si="20"/>
        <v>0</v>
      </c>
    </row>
    <row r="88" spans="1:10" s="4" customFormat="1" ht="63" x14ac:dyDescent="0.25">
      <c r="A88" s="310">
        <v>1</v>
      </c>
      <c r="B88" s="310" t="s">
        <v>617</v>
      </c>
      <c r="C88" s="300"/>
      <c r="D88" s="301">
        <v>2100</v>
      </c>
      <c r="E88" s="301">
        <v>600</v>
      </c>
      <c r="F88" s="384">
        <v>0</v>
      </c>
      <c r="G88" s="389">
        <f t="shared" si="18"/>
        <v>600</v>
      </c>
      <c r="H88" s="386">
        <f t="shared" si="19"/>
        <v>-71.428571428571431</v>
      </c>
      <c r="I88" s="302"/>
      <c r="J88" s="303">
        <f t="shared" si="20"/>
        <v>0</v>
      </c>
    </row>
    <row r="89" spans="1:10" s="4" customFormat="1" ht="47.25" x14ac:dyDescent="0.25">
      <c r="A89" s="310">
        <v>1</v>
      </c>
      <c r="B89" s="310" t="s">
        <v>618</v>
      </c>
      <c r="C89" s="300"/>
      <c r="D89" s="301">
        <v>2500</v>
      </c>
      <c r="E89" s="301">
        <v>0</v>
      </c>
      <c r="F89" s="384">
        <v>0</v>
      </c>
      <c r="G89" s="389">
        <f t="shared" si="18"/>
        <v>0</v>
      </c>
      <c r="H89" s="386">
        <f t="shared" si="19"/>
        <v>-100</v>
      </c>
      <c r="I89" s="302"/>
      <c r="J89" s="303">
        <f t="shared" si="20"/>
        <v>0</v>
      </c>
    </row>
    <row r="90" spans="1:10" s="4" customFormat="1" ht="31.5" x14ac:dyDescent="0.25">
      <c r="A90" s="310">
        <v>1</v>
      </c>
      <c r="B90" s="313" t="s">
        <v>625</v>
      </c>
      <c r="C90" s="300"/>
      <c r="D90" s="301">
        <v>0</v>
      </c>
      <c r="E90" s="301">
        <v>939</v>
      </c>
      <c r="F90" s="384">
        <v>0</v>
      </c>
      <c r="G90" s="389">
        <f t="shared" si="18"/>
        <v>939</v>
      </c>
      <c r="H90" s="386">
        <f t="shared" si="19"/>
        <v>0</v>
      </c>
      <c r="I90" s="302" t="s">
        <v>626</v>
      </c>
      <c r="J90" s="303">
        <f t="shared" si="20"/>
        <v>0</v>
      </c>
    </row>
    <row r="91" spans="1:10" s="4" customFormat="1" ht="31.5" x14ac:dyDescent="0.25">
      <c r="A91" s="12">
        <v>1</v>
      </c>
      <c r="B91" s="313" t="s">
        <v>665</v>
      </c>
      <c r="C91" s="300"/>
      <c r="D91" s="301">
        <v>0</v>
      </c>
      <c r="E91" s="301">
        <v>0</v>
      </c>
      <c r="F91" s="384">
        <v>10000</v>
      </c>
      <c r="G91" s="389">
        <f t="shared" si="18"/>
        <v>10000</v>
      </c>
      <c r="H91" s="386">
        <f t="shared" si="19"/>
        <v>0</v>
      </c>
      <c r="I91" s="302" t="s">
        <v>626</v>
      </c>
      <c r="J91" s="309">
        <f t="shared" si="20"/>
        <v>0</v>
      </c>
    </row>
    <row r="92" spans="1:10" s="4" customFormat="1" ht="26.25" x14ac:dyDescent="0.25">
      <c r="A92" s="539" t="s">
        <v>0</v>
      </c>
      <c r="B92" s="539"/>
      <c r="C92" s="539"/>
      <c r="D92" s="304">
        <f>SUM(D85:D91)</f>
        <v>112390</v>
      </c>
      <c r="E92" s="304">
        <f>SUM(E85:E91)</f>
        <v>72526.400000000009</v>
      </c>
      <c r="F92" s="385">
        <f>SUM(F85:F91)</f>
        <v>46712.6</v>
      </c>
      <c r="G92" s="390">
        <f>SUM(G85:G91)</f>
        <v>119239</v>
      </c>
      <c r="H92" s="387">
        <f t="shared" si="19"/>
        <v>6.0939585372364036</v>
      </c>
      <c r="I92" s="304">
        <f>SUM(I85:I91)</f>
        <v>0</v>
      </c>
      <c r="J92" s="304">
        <f t="shared" si="20"/>
        <v>0</v>
      </c>
    </row>
    <row r="93" spans="1:10" s="4" customFormat="1" x14ac:dyDescent="0.25"/>
    <row r="94" spans="1:10" s="4" customFormat="1" ht="26.25" x14ac:dyDescent="0.25">
      <c r="A94" s="521" t="s">
        <v>419</v>
      </c>
      <c r="B94" s="522"/>
      <c r="C94" s="523" t="s">
        <v>463</v>
      </c>
      <c r="D94" s="524"/>
      <c r="E94" s="524"/>
      <c r="F94" s="524"/>
      <c r="G94" s="524"/>
      <c r="H94" s="524"/>
      <c r="I94" s="524"/>
      <c r="J94" s="525"/>
    </row>
    <row r="95" spans="1:10" s="4" customFormat="1" ht="26.25" x14ac:dyDescent="0.25">
      <c r="A95" s="522" t="s">
        <v>34</v>
      </c>
      <c r="B95" s="522"/>
      <c r="C95" s="526" t="s">
        <v>22</v>
      </c>
      <c r="D95" s="526"/>
      <c r="E95" s="526"/>
      <c r="F95" s="526"/>
      <c r="G95" s="526"/>
      <c r="H95" s="526"/>
      <c r="I95" s="526"/>
      <c r="J95" s="527"/>
    </row>
    <row r="96" spans="1:10" s="4" customFormat="1" ht="26.25" x14ac:dyDescent="0.25">
      <c r="A96" s="296"/>
      <c r="B96" s="296"/>
      <c r="C96" s="296"/>
      <c r="D96" s="297"/>
      <c r="E96" s="297"/>
      <c r="F96" s="297"/>
      <c r="G96" s="297"/>
      <c r="H96" s="297"/>
      <c r="I96" s="297" t="s">
        <v>601</v>
      </c>
      <c r="J96" s="297"/>
    </row>
    <row r="97" spans="1:10" s="4" customFormat="1" ht="26.25" x14ac:dyDescent="0.25">
      <c r="A97" s="528" t="s">
        <v>413</v>
      </c>
      <c r="B97" s="529"/>
      <c r="C97" s="529"/>
      <c r="D97" s="528" t="s">
        <v>414</v>
      </c>
      <c r="E97" s="529"/>
      <c r="F97" s="529"/>
      <c r="G97" s="529"/>
      <c r="H97" s="530"/>
      <c r="I97" s="531" t="s">
        <v>602</v>
      </c>
      <c r="J97" s="532"/>
    </row>
    <row r="98" spans="1:10" s="4" customFormat="1" ht="26.25" x14ac:dyDescent="0.25">
      <c r="A98" s="528" t="s">
        <v>415</v>
      </c>
      <c r="B98" s="529"/>
      <c r="C98" s="530"/>
      <c r="D98" s="533" t="s">
        <v>603</v>
      </c>
      <c r="E98" s="528" t="s">
        <v>604</v>
      </c>
      <c r="F98" s="529"/>
      <c r="G98" s="535"/>
      <c r="H98" s="536" t="s">
        <v>605</v>
      </c>
      <c r="I98" s="537" t="s">
        <v>606</v>
      </c>
      <c r="J98" s="537" t="s">
        <v>607</v>
      </c>
    </row>
    <row r="99" spans="1:10" s="4" customFormat="1" ht="78.75" x14ac:dyDescent="0.25">
      <c r="A99" s="298" t="s">
        <v>416</v>
      </c>
      <c r="B99" s="298" t="s">
        <v>417</v>
      </c>
      <c r="C99" s="299" t="s">
        <v>418</v>
      </c>
      <c r="D99" s="534"/>
      <c r="E99" s="340" t="s">
        <v>675</v>
      </c>
      <c r="F99" s="382" t="s">
        <v>676</v>
      </c>
      <c r="G99" s="388" t="s">
        <v>608</v>
      </c>
      <c r="H99" s="530"/>
      <c r="I99" s="538"/>
      <c r="J99" s="538"/>
    </row>
    <row r="100" spans="1:10" s="4" customFormat="1" ht="110.25" x14ac:dyDescent="0.25">
      <c r="A100" s="310">
        <v>1</v>
      </c>
      <c r="B100" s="310" t="s">
        <v>464</v>
      </c>
      <c r="C100" s="306"/>
      <c r="D100" s="307">
        <v>20000</v>
      </c>
      <c r="E100" s="307">
        <v>0</v>
      </c>
      <c r="F100" s="383">
        <v>0</v>
      </c>
      <c r="G100" s="389">
        <f>E100+F100</f>
        <v>0</v>
      </c>
      <c r="H100" s="386">
        <f>IFERROR(G100/D100*100-100,0)</f>
        <v>-100</v>
      </c>
      <c r="I100" s="308"/>
      <c r="J100" s="309">
        <f>IFERROR(I100/G100*100,)</f>
        <v>0</v>
      </c>
    </row>
    <row r="101" spans="1:10" s="4" customFormat="1" ht="26.25" x14ac:dyDescent="0.25">
      <c r="A101" s="539" t="s">
        <v>0</v>
      </c>
      <c r="B101" s="539"/>
      <c r="C101" s="539"/>
      <c r="D101" s="304">
        <f>SUM(D100:D100)</f>
        <v>20000</v>
      </c>
      <c r="E101" s="304">
        <f>SUM(E100:E100)</f>
        <v>0</v>
      </c>
      <c r="F101" s="385">
        <f>SUM(F100:F100)</f>
        <v>0</v>
      </c>
      <c r="G101" s="390">
        <f>SUM(G100:G100)</f>
        <v>0</v>
      </c>
      <c r="H101" s="387">
        <f t="shared" ref="H101" si="21">IFERROR(G101/D101*100-100,0)</f>
        <v>-100</v>
      </c>
      <c r="I101" s="304">
        <f>SUM(I100:I100)</f>
        <v>0</v>
      </c>
      <c r="J101" s="304">
        <f t="shared" ref="J101" si="22">IFERROR(I101/G101*100,)</f>
        <v>0</v>
      </c>
    </row>
    <row r="102" spans="1:10" s="4" customFormat="1" x14ac:dyDescent="0.25"/>
    <row r="103" spans="1:10" s="4" customFormat="1" ht="26.25" x14ac:dyDescent="0.25">
      <c r="A103" s="521" t="s">
        <v>419</v>
      </c>
      <c r="B103" s="522"/>
      <c r="C103" s="523" t="s">
        <v>465</v>
      </c>
      <c r="D103" s="524"/>
      <c r="E103" s="524"/>
      <c r="F103" s="524"/>
      <c r="G103" s="524"/>
      <c r="H103" s="524"/>
      <c r="I103" s="524"/>
      <c r="J103" s="525"/>
    </row>
    <row r="104" spans="1:10" s="4" customFormat="1" ht="26.25" x14ac:dyDescent="0.25">
      <c r="A104" s="522" t="s">
        <v>34</v>
      </c>
      <c r="B104" s="522"/>
      <c r="C104" s="526" t="s">
        <v>30</v>
      </c>
      <c r="D104" s="526"/>
      <c r="E104" s="526"/>
      <c r="F104" s="526"/>
      <c r="G104" s="526"/>
      <c r="H104" s="526"/>
      <c r="I104" s="526"/>
      <c r="J104" s="527"/>
    </row>
    <row r="105" spans="1:10" s="4" customFormat="1" ht="26.25" x14ac:dyDescent="0.25">
      <c r="A105" s="296"/>
      <c r="B105" s="296"/>
      <c r="C105" s="296"/>
      <c r="D105" s="297"/>
      <c r="E105" s="297"/>
      <c r="F105" s="297"/>
      <c r="G105" s="297"/>
      <c r="H105" s="297"/>
      <c r="I105" s="297" t="s">
        <v>601</v>
      </c>
      <c r="J105" s="297"/>
    </row>
    <row r="106" spans="1:10" s="4" customFormat="1" ht="26.25" x14ac:dyDescent="0.25">
      <c r="A106" s="528" t="s">
        <v>413</v>
      </c>
      <c r="B106" s="529"/>
      <c r="C106" s="529"/>
      <c r="D106" s="528" t="s">
        <v>414</v>
      </c>
      <c r="E106" s="529"/>
      <c r="F106" s="529"/>
      <c r="G106" s="529"/>
      <c r="H106" s="530"/>
      <c r="I106" s="531" t="s">
        <v>602</v>
      </c>
      <c r="J106" s="532"/>
    </row>
    <row r="107" spans="1:10" s="4" customFormat="1" ht="26.25" x14ac:dyDescent="0.25">
      <c r="A107" s="528" t="s">
        <v>415</v>
      </c>
      <c r="B107" s="529"/>
      <c r="C107" s="530"/>
      <c r="D107" s="533" t="s">
        <v>603</v>
      </c>
      <c r="E107" s="528" t="s">
        <v>604</v>
      </c>
      <c r="F107" s="529"/>
      <c r="G107" s="535"/>
      <c r="H107" s="536" t="s">
        <v>605</v>
      </c>
      <c r="I107" s="537" t="s">
        <v>606</v>
      </c>
      <c r="J107" s="537" t="s">
        <v>607</v>
      </c>
    </row>
    <row r="108" spans="1:10" s="4" customFormat="1" ht="78.75" x14ac:dyDescent="0.25">
      <c r="A108" s="298" t="s">
        <v>416</v>
      </c>
      <c r="B108" s="298" t="s">
        <v>417</v>
      </c>
      <c r="C108" s="299" t="s">
        <v>418</v>
      </c>
      <c r="D108" s="534"/>
      <c r="E108" s="340" t="s">
        <v>675</v>
      </c>
      <c r="F108" s="382" t="s">
        <v>676</v>
      </c>
      <c r="G108" s="388" t="s">
        <v>608</v>
      </c>
      <c r="H108" s="530"/>
      <c r="I108" s="538"/>
      <c r="J108" s="538"/>
    </row>
    <row r="109" spans="1:10" s="4" customFormat="1" ht="110.25" x14ac:dyDescent="0.25">
      <c r="A109" s="310">
        <v>6</v>
      </c>
      <c r="B109" s="310" t="s">
        <v>466</v>
      </c>
      <c r="C109" s="306"/>
      <c r="D109" s="307">
        <v>19522.189999999999</v>
      </c>
      <c r="E109" s="307">
        <v>10185.49</v>
      </c>
      <c r="F109" s="383">
        <f>D109-E109+607.78</f>
        <v>9944.48</v>
      </c>
      <c r="G109" s="389">
        <f>E109+F109</f>
        <v>20129.97</v>
      </c>
      <c r="H109" s="386">
        <f>IFERROR(G109/D109*100-100,0)</f>
        <v>3.1132777623821966</v>
      </c>
      <c r="I109" s="308"/>
      <c r="J109" s="309">
        <f>IFERROR(I109/G109*100,)</f>
        <v>0</v>
      </c>
    </row>
    <row r="110" spans="1:10" s="4" customFormat="1" ht="26.25" x14ac:dyDescent="0.25">
      <c r="A110" s="539" t="s">
        <v>0</v>
      </c>
      <c r="B110" s="539"/>
      <c r="C110" s="539"/>
      <c r="D110" s="304">
        <f>SUM(D109:D109)</f>
        <v>19522.189999999999</v>
      </c>
      <c r="E110" s="304">
        <f>SUM(E109:E109)</f>
        <v>10185.49</v>
      </c>
      <c r="F110" s="385">
        <f>SUM(F109:F109)</f>
        <v>9944.48</v>
      </c>
      <c r="G110" s="390">
        <f>SUM(G109:G109)</f>
        <v>20129.97</v>
      </c>
      <c r="H110" s="387">
        <f t="shared" ref="H110" si="23">IFERROR(G110/D110*100-100,0)</f>
        <v>3.1132777623821966</v>
      </c>
      <c r="I110" s="304">
        <f>SUM(I109:I109)</f>
        <v>0</v>
      </c>
      <c r="J110" s="304">
        <f t="shared" ref="J110" si="24">IFERROR(I110/G110*100,)</f>
        <v>0</v>
      </c>
    </row>
    <row r="111" spans="1:10" s="4" customFormat="1" x14ac:dyDescent="0.25"/>
    <row r="112" spans="1:10" s="4" customFormat="1" ht="26.25" x14ac:dyDescent="0.25">
      <c r="A112" s="521" t="s">
        <v>419</v>
      </c>
      <c r="B112" s="522"/>
      <c r="C112" s="523" t="s">
        <v>467</v>
      </c>
      <c r="D112" s="524"/>
      <c r="E112" s="524"/>
      <c r="F112" s="524"/>
      <c r="G112" s="524"/>
      <c r="H112" s="524"/>
      <c r="I112" s="524"/>
      <c r="J112" s="525"/>
    </row>
    <row r="113" spans="1:10" s="4" customFormat="1" ht="26.25" x14ac:dyDescent="0.25">
      <c r="A113" s="522" t="s">
        <v>34</v>
      </c>
      <c r="B113" s="522"/>
      <c r="C113" s="526" t="s">
        <v>26</v>
      </c>
      <c r="D113" s="526"/>
      <c r="E113" s="526"/>
      <c r="F113" s="526"/>
      <c r="G113" s="526"/>
      <c r="H113" s="526"/>
      <c r="I113" s="526"/>
      <c r="J113" s="527"/>
    </row>
    <row r="114" spans="1:10" s="4" customFormat="1" ht="26.25" x14ac:dyDescent="0.25">
      <c r="A114" s="296"/>
      <c r="B114" s="296"/>
      <c r="C114" s="296"/>
      <c r="D114" s="297"/>
      <c r="E114" s="297"/>
      <c r="F114" s="297"/>
      <c r="G114" s="297"/>
      <c r="H114" s="297"/>
      <c r="I114" s="297" t="s">
        <v>601</v>
      </c>
      <c r="J114" s="297"/>
    </row>
    <row r="115" spans="1:10" s="4" customFormat="1" ht="26.25" x14ac:dyDescent="0.25">
      <c r="A115" s="528" t="s">
        <v>413</v>
      </c>
      <c r="B115" s="529"/>
      <c r="C115" s="529"/>
      <c r="D115" s="528" t="s">
        <v>414</v>
      </c>
      <c r="E115" s="529"/>
      <c r="F115" s="529"/>
      <c r="G115" s="529"/>
      <c r="H115" s="530"/>
      <c r="I115" s="531" t="s">
        <v>602</v>
      </c>
      <c r="J115" s="532"/>
    </row>
    <row r="116" spans="1:10" s="4" customFormat="1" ht="26.25" x14ac:dyDescent="0.25">
      <c r="A116" s="528" t="s">
        <v>415</v>
      </c>
      <c r="B116" s="529"/>
      <c r="C116" s="530"/>
      <c r="D116" s="533" t="s">
        <v>603</v>
      </c>
      <c r="E116" s="528" t="s">
        <v>604</v>
      </c>
      <c r="F116" s="529"/>
      <c r="G116" s="535"/>
      <c r="H116" s="536" t="s">
        <v>605</v>
      </c>
      <c r="I116" s="537" t="s">
        <v>606</v>
      </c>
      <c r="J116" s="537" t="s">
        <v>607</v>
      </c>
    </row>
    <row r="117" spans="1:10" s="4" customFormat="1" ht="78.75" x14ac:dyDescent="0.25">
      <c r="A117" s="298" t="s">
        <v>416</v>
      </c>
      <c r="B117" s="298" t="s">
        <v>417</v>
      </c>
      <c r="C117" s="299" t="s">
        <v>418</v>
      </c>
      <c r="D117" s="534"/>
      <c r="E117" s="340" t="s">
        <v>675</v>
      </c>
      <c r="F117" s="382" t="s">
        <v>676</v>
      </c>
      <c r="G117" s="388" t="s">
        <v>608</v>
      </c>
      <c r="H117" s="530"/>
      <c r="I117" s="538"/>
      <c r="J117" s="538"/>
    </row>
    <row r="118" spans="1:10" s="4" customFormat="1" ht="94.5" x14ac:dyDescent="0.25">
      <c r="A118" s="310">
        <v>1</v>
      </c>
      <c r="B118" s="310" t="s">
        <v>468</v>
      </c>
      <c r="C118" s="306"/>
      <c r="D118" s="307">
        <v>2100</v>
      </c>
      <c r="E118" s="307">
        <v>2700</v>
      </c>
      <c r="F118" s="383">
        <v>0</v>
      </c>
      <c r="G118" s="389">
        <f>E118+F118</f>
        <v>2700</v>
      </c>
      <c r="H118" s="386">
        <f>IFERROR(G118/D118*100-100,0)</f>
        <v>28.571428571428584</v>
      </c>
      <c r="I118" s="308"/>
      <c r="J118" s="309">
        <f>IFERROR(I118/G118*100,)</f>
        <v>0</v>
      </c>
    </row>
    <row r="119" spans="1:10" s="4" customFormat="1" ht="94.5" x14ac:dyDescent="0.25">
      <c r="A119" s="310">
        <v>1</v>
      </c>
      <c r="B119" s="310" t="s">
        <v>469</v>
      </c>
      <c r="C119" s="300"/>
      <c r="D119" s="301">
        <v>2500</v>
      </c>
      <c r="E119" s="301">
        <v>5366.03</v>
      </c>
      <c r="F119" s="384">
        <v>0</v>
      </c>
      <c r="G119" s="389">
        <f t="shared" ref="G119:G121" si="25">E119+F119</f>
        <v>5366.03</v>
      </c>
      <c r="H119" s="386">
        <f t="shared" ref="H119:H121" si="26">IFERROR(G119/D119*100-100,0)</f>
        <v>114.64119999999997</v>
      </c>
      <c r="I119" s="302"/>
      <c r="J119" s="303">
        <f t="shared" ref="J119:J122" si="27">IFERROR(I119/G119*100,)</f>
        <v>0</v>
      </c>
    </row>
    <row r="120" spans="1:10" s="4" customFormat="1" ht="78.75" x14ac:dyDescent="0.25">
      <c r="A120" s="310"/>
      <c r="B120" s="313" t="s">
        <v>615</v>
      </c>
      <c r="C120" s="300"/>
      <c r="D120" s="301">
        <v>0</v>
      </c>
      <c r="E120" s="301">
        <v>4200</v>
      </c>
      <c r="F120" s="384">
        <v>0</v>
      </c>
      <c r="G120" s="389">
        <f t="shared" si="25"/>
        <v>4200</v>
      </c>
      <c r="H120" s="386">
        <f t="shared" si="26"/>
        <v>0</v>
      </c>
      <c r="I120" s="302"/>
      <c r="J120" s="303"/>
    </row>
    <row r="121" spans="1:10" s="4" customFormat="1" ht="78.75" x14ac:dyDescent="0.25">
      <c r="A121" s="310"/>
      <c r="B121" s="313" t="s">
        <v>616</v>
      </c>
      <c r="C121" s="300"/>
      <c r="D121" s="301">
        <v>0</v>
      </c>
      <c r="E121" s="301">
        <v>6647.8</v>
      </c>
      <c r="F121" s="384">
        <v>0</v>
      </c>
      <c r="G121" s="389">
        <f t="shared" si="25"/>
        <v>6647.8</v>
      </c>
      <c r="H121" s="386">
        <f t="shared" si="26"/>
        <v>0</v>
      </c>
      <c r="I121" s="302"/>
      <c r="J121" s="303"/>
    </row>
    <row r="122" spans="1:10" s="4" customFormat="1" ht="26.25" x14ac:dyDescent="0.25">
      <c r="A122" s="539" t="s">
        <v>0</v>
      </c>
      <c r="B122" s="539"/>
      <c r="C122" s="539"/>
      <c r="D122" s="304">
        <f>SUM(D118:D121)</f>
        <v>4600</v>
      </c>
      <c r="E122" s="304">
        <f>SUM(E118:E121)</f>
        <v>18913.829999999998</v>
      </c>
      <c r="F122" s="385">
        <f>SUM(F118:F121)</f>
        <v>0</v>
      </c>
      <c r="G122" s="390">
        <f>SUM(G118:G121)</f>
        <v>18913.829999999998</v>
      </c>
      <c r="H122" s="387">
        <f t="shared" ref="H122" si="28">IFERROR(G122/D122*100-100,0)</f>
        <v>311.17021739130433</v>
      </c>
      <c r="I122" s="304">
        <f>SUM(I118:I121)</f>
        <v>0</v>
      </c>
      <c r="J122" s="304">
        <f t="shared" si="27"/>
        <v>0</v>
      </c>
    </row>
    <row r="123" spans="1:10" s="4" customFormat="1" x14ac:dyDescent="0.25"/>
    <row r="124" spans="1:10" s="4" customFormat="1" ht="26.25" x14ac:dyDescent="0.25">
      <c r="A124" s="521" t="s">
        <v>419</v>
      </c>
      <c r="B124" s="522"/>
      <c r="C124" s="523" t="s">
        <v>470</v>
      </c>
      <c r="D124" s="524"/>
      <c r="E124" s="524"/>
      <c r="F124" s="524"/>
      <c r="G124" s="524"/>
      <c r="H124" s="524"/>
      <c r="I124" s="524"/>
      <c r="J124" s="525"/>
    </row>
    <row r="125" spans="1:10" s="4" customFormat="1" ht="26.25" x14ac:dyDescent="0.25">
      <c r="A125" s="522" t="s">
        <v>34</v>
      </c>
      <c r="B125" s="522"/>
      <c r="C125" s="526" t="s">
        <v>29</v>
      </c>
      <c r="D125" s="526"/>
      <c r="E125" s="526"/>
      <c r="F125" s="526"/>
      <c r="G125" s="526"/>
      <c r="H125" s="526"/>
      <c r="I125" s="526"/>
      <c r="J125" s="527"/>
    </row>
    <row r="126" spans="1:10" s="4" customFormat="1" ht="26.25" x14ac:dyDescent="0.25">
      <c r="A126" s="296"/>
      <c r="B126" s="296"/>
      <c r="C126" s="296"/>
      <c r="D126" s="297"/>
      <c r="E126" s="297"/>
      <c r="F126" s="297"/>
      <c r="G126" s="297"/>
      <c r="H126" s="297"/>
      <c r="I126" s="297" t="s">
        <v>601</v>
      </c>
      <c r="J126" s="297"/>
    </row>
    <row r="127" spans="1:10" s="4" customFormat="1" ht="26.25" x14ac:dyDescent="0.25">
      <c r="A127" s="528" t="s">
        <v>413</v>
      </c>
      <c r="B127" s="529"/>
      <c r="C127" s="529"/>
      <c r="D127" s="528" t="s">
        <v>414</v>
      </c>
      <c r="E127" s="529"/>
      <c r="F127" s="529"/>
      <c r="G127" s="529"/>
      <c r="H127" s="530"/>
      <c r="I127" s="531" t="s">
        <v>602</v>
      </c>
      <c r="J127" s="532"/>
    </row>
    <row r="128" spans="1:10" s="4" customFormat="1" ht="26.25" x14ac:dyDescent="0.25">
      <c r="A128" s="528" t="s">
        <v>415</v>
      </c>
      <c r="B128" s="529"/>
      <c r="C128" s="530"/>
      <c r="D128" s="533" t="s">
        <v>603</v>
      </c>
      <c r="E128" s="528" t="s">
        <v>604</v>
      </c>
      <c r="F128" s="529"/>
      <c r="G128" s="535"/>
      <c r="H128" s="536" t="s">
        <v>605</v>
      </c>
      <c r="I128" s="537" t="s">
        <v>606</v>
      </c>
      <c r="J128" s="537" t="s">
        <v>607</v>
      </c>
    </row>
    <row r="129" spans="1:10" s="4" customFormat="1" ht="78.75" x14ac:dyDescent="0.25">
      <c r="A129" s="298" t="s">
        <v>416</v>
      </c>
      <c r="B129" s="298" t="s">
        <v>417</v>
      </c>
      <c r="C129" s="299" t="s">
        <v>418</v>
      </c>
      <c r="D129" s="534"/>
      <c r="E129" s="340" t="s">
        <v>675</v>
      </c>
      <c r="F129" s="382" t="s">
        <v>676</v>
      </c>
      <c r="G129" s="388" t="s">
        <v>608</v>
      </c>
      <c r="H129" s="530"/>
      <c r="I129" s="538"/>
      <c r="J129" s="538"/>
    </row>
    <row r="130" spans="1:10" s="4" customFormat="1" ht="110.25" x14ac:dyDescent="0.25">
      <c r="A130" s="310">
        <v>1</v>
      </c>
      <c r="B130" s="310" t="s">
        <v>471</v>
      </c>
      <c r="C130" s="306"/>
      <c r="D130" s="307">
        <v>4200</v>
      </c>
      <c r="E130" s="307">
        <v>0</v>
      </c>
      <c r="F130" s="383">
        <v>0</v>
      </c>
      <c r="G130" s="389">
        <f>E130+F130</f>
        <v>0</v>
      </c>
      <c r="H130" s="386">
        <f>IFERROR(G130/D130*100-100,0)</f>
        <v>-100</v>
      </c>
      <c r="I130" s="308"/>
      <c r="J130" s="309">
        <f>IFERROR(I130/G130*100,)</f>
        <v>0</v>
      </c>
    </row>
    <row r="131" spans="1:10" s="4" customFormat="1" ht="110.25" x14ac:dyDescent="0.25">
      <c r="A131" s="310">
        <v>1</v>
      </c>
      <c r="B131" s="310" t="s">
        <v>472</v>
      </c>
      <c r="C131" s="300"/>
      <c r="D131" s="301">
        <v>4500</v>
      </c>
      <c r="E131" s="301">
        <v>0</v>
      </c>
      <c r="F131" s="384">
        <v>0</v>
      </c>
      <c r="G131" s="389">
        <f t="shared" ref="G131:G133" si="29">E131+F131</f>
        <v>0</v>
      </c>
      <c r="H131" s="386">
        <f t="shared" ref="H131:H134" si="30">IFERROR(G131/D131*100-100,0)</f>
        <v>-100</v>
      </c>
      <c r="I131" s="302"/>
      <c r="J131" s="303">
        <f t="shared" ref="J131:J134" si="31">IFERROR(I131/G131*100,)</f>
        <v>0</v>
      </c>
    </row>
    <row r="132" spans="1:10" s="4" customFormat="1" ht="94.5" x14ac:dyDescent="0.25">
      <c r="A132" s="310">
        <v>4</v>
      </c>
      <c r="B132" s="310" t="s">
        <v>473</v>
      </c>
      <c r="C132" s="300"/>
      <c r="D132" s="301">
        <v>8400</v>
      </c>
      <c r="E132" s="301">
        <v>3600</v>
      </c>
      <c r="F132" s="384">
        <v>0</v>
      </c>
      <c r="G132" s="389">
        <f t="shared" si="29"/>
        <v>3600</v>
      </c>
      <c r="H132" s="386">
        <f t="shared" si="30"/>
        <v>-57.142857142857146</v>
      </c>
      <c r="I132" s="302"/>
      <c r="J132" s="303">
        <f t="shared" si="31"/>
        <v>0</v>
      </c>
    </row>
    <row r="133" spans="1:10" s="4" customFormat="1" ht="94.5" x14ac:dyDescent="0.25">
      <c r="A133" s="310">
        <v>4</v>
      </c>
      <c r="B133" s="310" t="s">
        <v>474</v>
      </c>
      <c r="C133" s="300"/>
      <c r="D133" s="301">
        <v>8000</v>
      </c>
      <c r="E133" s="301">
        <v>1807.21</v>
      </c>
      <c r="F133" s="384">
        <v>0</v>
      </c>
      <c r="G133" s="389">
        <f t="shared" si="29"/>
        <v>1807.21</v>
      </c>
      <c r="H133" s="386">
        <f t="shared" si="30"/>
        <v>-77.409875</v>
      </c>
      <c r="I133" s="302"/>
      <c r="J133" s="303">
        <f t="shared" si="31"/>
        <v>0</v>
      </c>
    </row>
    <row r="134" spans="1:10" s="4" customFormat="1" ht="26.25" x14ac:dyDescent="0.25">
      <c r="A134" s="539" t="s">
        <v>0</v>
      </c>
      <c r="B134" s="539"/>
      <c r="C134" s="539"/>
      <c r="D134" s="304">
        <f>SUM(D130:D133)</f>
        <v>25100</v>
      </c>
      <c r="E134" s="304">
        <f>SUM(E130:E133)</f>
        <v>5407.21</v>
      </c>
      <c r="F134" s="385">
        <f>SUM(F130:F133)</f>
        <v>0</v>
      </c>
      <c r="G134" s="390">
        <f>SUM(G130:G133)</f>
        <v>5407.21</v>
      </c>
      <c r="H134" s="387">
        <f t="shared" si="30"/>
        <v>-78.457330677290841</v>
      </c>
      <c r="I134" s="304">
        <f>SUM(I130:I133)</f>
        <v>0</v>
      </c>
      <c r="J134" s="304">
        <f t="shared" si="31"/>
        <v>0</v>
      </c>
    </row>
    <row r="135" spans="1:10" s="4" customFormat="1" x14ac:dyDescent="0.25"/>
    <row r="136" spans="1:10" s="4" customFormat="1" ht="26.25" x14ac:dyDescent="0.25">
      <c r="A136" s="521" t="s">
        <v>419</v>
      </c>
      <c r="B136" s="522"/>
      <c r="C136" s="523" t="s">
        <v>475</v>
      </c>
      <c r="D136" s="524"/>
      <c r="E136" s="524"/>
      <c r="F136" s="524"/>
      <c r="G136" s="524"/>
      <c r="H136" s="524"/>
      <c r="I136" s="524"/>
      <c r="J136" s="525"/>
    </row>
    <row r="137" spans="1:10" s="4" customFormat="1" ht="26.25" x14ac:dyDescent="0.25">
      <c r="A137" s="522" t="s">
        <v>34</v>
      </c>
      <c r="B137" s="522"/>
      <c r="C137" s="526" t="s">
        <v>115</v>
      </c>
      <c r="D137" s="526"/>
      <c r="E137" s="526"/>
      <c r="F137" s="526"/>
      <c r="G137" s="526"/>
      <c r="H137" s="526"/>
      <c r="I137" s="526"/>
      <c r="J137" s="527"/>
    </row>
    <row r="138" spans="1:10" s="4" customFormat="1" ht="26.25" x14ac:dyDescent="0.25">
      <c r="A138" s="296"/>
      <c r="B138" s="296"/>
      <c r="C138" s="296"/>
      <c r="D138" s="297"/>
      <c r="E138" s="297"/>
      <c r="F138" s="297"/>
      <c r="G138" s="297"/>
      <c r="H138" s="297"/>
      <c r="I138" s="297" t="s">
        <v>601</v>
      </c>
      <c r="J138" s="297"/>
    </row>
    <row r="139" spans="1:10" s="4" customFormat="1" ht="26.25" x14ac:dyDescent="0.25">
      <c r="A139" s="528" t="s">
        <v>413</v>
      </c>
      <c r="B139" s="529"/>
      <c r="C139" s="529"/>
      <c r="D139" s="528" t="s">
        <v>414</v>
      </c>
      <c r="E139" s="529"/>
      <c r="F139" s="529"/>
      <c r="G139" s="529"/>
      <c r="H139" s="530"/>
      <c r="I139" s="531" t="s">
        <v>602</v>
      </c>
      <c r="J139" s="532"/>
    </row>
    <row r="140" spans="1:10" s="4" customFormat="1" ht="26.25" x14ac:dyDescent="0.25">
      <c r="A140" s="528" t="s">
        <v>415</v>
      </c>
      <c r="B140" s="529"/>
      <c r="C140" s="530"/>
      <c r="D140" s="533" t="s">
        <v>603</v>
      </c>
      <c r="E140" s="528" t="s">
        <v>604</v>
      </c>
      <c r="F140" s="529"/>
      <c r="G140" s="535"/>
      <c r="H140" s="536" t="s">
        <v>605</v>
      </c>
      <c r="I140" s="537" t="s">
        <v>606</v>
      </c>
      <c r="J140" s="537" t="s">
        <v>607</v>
      </c>
    </row>
    <row r="141" spans="1:10" s="4" customFormat="1" ht="78.75" x14ac:dyDescent="0.25">
      <c r="A141" s="298" t="s">
        <v>416</v>
      </c>
      <c r="B141" s="298" t="s">
        <v>417</v>
      </c>
      <c r="C141" s="299" t="s">
        <v>418</v>
      </c>
      <c r="D141" s="534"/>
      <c r="E141" s="340" t="s">
        <v>675</v>
      </c>
      <c r="F141" s="382" t="s">
        <v>676</v>
      </c>
      <c r="G141" s="388" t="s">
        <v>608</v>
      </c>
      <c r="H141" s="530"/>
      <c r="I141" s="538"/>
      <c r="J141" s="538"/>
    </row>
    <row r="142" spans="1:10" s="4" customFormat="1" ht="26.25" x14ac:dyDescent="0.25">
      <c r="A142" s="310">
        <v>12</v>
      </c>
      <c r="B142" s="310" t="s">
        <v>371</v>
      </c>
      <c r="C142" s="306"/>
      <c r="D142" s="307">
        <v>3000</v>
      </c>
      <c r="E142" s="307">
        <v>3055.1</v>
      </c>
      <c r="F142" s="383">
        <v>0</v>
      </c>
      <c r="G142" s="389">
        <f>E142+F142</f>
        <v>3055.1</v>
      </c>
      <c r="H142" s="386">
        <f>IFERROR(G142/D142*100-100,0)</f>
        <v>1.8366666666666589</v>
      </c>
      <c r="I142" s="308"/>
      <c r="J142" s="309">
        <f>IFERROR(I142/G142*100,)</f>
        <v>0</v>
      </c>
    </row>
    <row r="143" spans="1:10" s="4" customFormat="1" ht="31.5" x14ac:dyDescent="0.25">
      <c r="A143" s="310">
        <v>4</v>
      </c>
      <c r="B143" s="310" t="s">
        <v>476</v>
      </c>
      <c r="C143" s="300"/>
      <c r="D143" s="301">
        <v>8400</v>
      </c>
      <c r="E143" s="301">
        <f>1500+1600</f>
        <v>3100</v>
      </c>
      <c r="F143" s="384">
        <f>8400-E143</f>
        <v>5300</v>
      </c>
      <c r="G143" s="389">
        <f t="shared" ref="G143:G148" si="32">E143+F143</f>
        <v>8400</v>
      </c>
      <c r="H143" s="386">
        <f t="shared" ref="H143:H149" si="33">IFERROR(G143/D143*100-100,0)</f>
        <v>0</v>
      </c>
      <c r="I143" s="302"/>
      <c r="J143" s="303">
        <f t="shared" ref="J143:J149" si="34">IFERROR(I143/G143*100,)</f>
        <v>0</v>
      </c>
    </row>
    <row r="144" spans="1:10" s="4" customFormat="1" ht="47.25" x14ac:dyDescent="0.25">
      <c r="A144" s="310">
        <v>4</v>
      </c>
      <c r="B144" s="310" t="s">
        <v>477</v>
      </c>
      <c r="C144" s="300"/>
      <c r="D144" s="301">
        <v>8440</v>
      </c>
      <c r="E144" s="301">
        <f>2435.47+2085.4</f>
        <v>4520.87</v>
      </c>
      <c r="F144" s="384">
        <f>8440-E144</f>
        <v>3919.13</v>
      </c>
      <c r="G144" s="389">
        <f t="shared" si="32"/>
        <v>8440</v>
      </c>
      <c r="H144" s="386">
        <f t="shared" si="33"/>
        <v>0</v>
      </c>
      <c r="I144" s="302"/>
      <c r="J144" s="303">
        <f t="shared" si="34"/>
        <v>0</v>
      </c>
    </row>
    <row r="145" spans="1:10" s="4" customFormat="1" ht="78.75" x14ac:dyDescent="0.25">
      <c r="A145" s="310">
        <v>12</v>
      </c>
      <c r="B145" s="310" t="s">
        <v>478</v>
      </c>
      <c r="C145" s="300"/>
      <c r="D145" s="301">
        <v>20000</v>
      </c>
      <c r="E145" s="301">
        <v>33400</v>
      </c>
      <c r="F145" s="384">
        <v>0</v>
      </c>
      <c r="G145" s="389">
        <f t="shared" si="32"/>
        <v>33400</v>
      </c>
      <c r="H145" s="386">
        <f t="shared" si="33"/>
        <v>67</v>
      </c>
      <c r="I145" s="302"/>
      <c r="J145" s="303">
        <f t="shared" si="34"/>
        <v>0</v>
      </c>
    </row>
    <row r="146" spans="1:10" s="4" customFormat="1" ht="63" x14ac:dyDescent="0.25">
      <c r="A146" s="310">
        <v>12</v>
      </c>
      <c r="B146" s="310" t="s">
        <v>479</v>
      </c>
      <c r="C146" s="300"/>
      <c r="D146" s="301">
        <v>14000</v>
      </c>
      <c r="E146" s="301">
        <v>18671.13</v>
      </c>
      <c r="F146" s="384">
        <v>0</v>
      </c>
      <c r="G146" s="389">
        <f t="shared" si="32"/>
        <v>18671.13</v>
      </c>
      <c r="H146" s="386">
        <f t="shared" si="33"/>
        <v>33.365214285714274</v>
      </c>
      <c r="I146" s="302"/>
      <c r="J146" s="303">
        <f t="shared" si="34"/>
        <v>0</v>
      </c>
    </row>
    <row r="147" spans="1:10" s="4" customFormat="1" ht="78.75" x14ac:dyDescent="0.25">
      <c r="A147" s="311">
        <v>12</v>
      </c>
      <c r="B147" s="310" t="s">
        <v>480</v>
      </c>
      <c r="C147" s="300"/>
      <c r="D147" s="301">
        <v>2000</v>
      </c>
      <c r="E147" s="301">
        <v>0</v>
      </c>
      <c r="F147" s="384">
        <v>0</v>
      </c>
      <c r="G147" s="389">
        <f t="shared" si="32"/>
        <v>0</v>
      </c>
      <c r="H147" s="386">
        <f t="shared" si="33"/>
        <v>-100</v>
      </c>
      <c r="I147" s="302"/>
      <c r="J147" s="303">
        <f t="shared" si="34"/>
        <v>0</v>
      </c>
    </row>
    <row r="148" spans="1:10" s="4" customFormat="1" ht="31.5" x14ac:dyDescent="0.25">
      <c r="A148" s="310">
        <v>1</v>
      </c>
      <c r="B148" s="313" t="s">
        <v>614</v>
      </c>
      <c r="C148" s="300"/>
      <c r="D148" s="301">
        <v>0</v>
      </c>
      <c r="E148" s="301">
        <v>1904</v>
      </c>
      <c r="F148" s="384">
        <v>0</v>
      </c>
      <c r="G148" s="389">
        <f t="shared" si="32"/>
        <v>1904</v>
      </c>
      <c r="H148" s="386">
        <f t="shared" si="33"/>
        <v>0</v>
      </c>
      <c r="I148" s="302"/>
      <c r="J148" s="303">
        <f t="shared" si="34"/>
        <v>0</v>
      </c>
    </row>
    <row r="149" spans="1:10" s="4" customFormat="1" ht="26.25" x14ac:dyDescent="0.25">
      <c r="A149" s="539" t="s">
        <v>0</v>
      </c>
      <c r="B149" s="539"/>
      <c r="C149" s="539"/>
      <c r="D149" s="304">
        <f>SUM(D142:D148)</f>
        <v>55840</v>
      </c>
      <c r="E149" s="304">
        <f>SUM(E142:E148)</f>
        <v>64651.100000000006</v>
      </c>
      <c r="F149" s="385">
        <f>SUM(F142:F148)</f>
        <v>9219.130000000001</v>
      </c>
      <c r="G149" s="390">
        <f>SUM(G142:G148)</f>
        <v>73870.23</v>
      </c>
      <c r="H149" s="387">
        <f t="shared" si="33"/>
        <v>32.28909383954155</v>
      </c>
      <c r="I149" s="304">
        <f>SUM(I142:I148)</f>
        <v>0</v>
      </c>
      <c r="J149" s="304">
        <f t="shared" si="34"/>
        <v>0</v>
      </c>
    </row>
    <row r="150" spans="1:10" s="4" customFormat="1" x14ac:dyDescent="0.25"/>
    <row r="151" spans="1:10" s="4" customFormat="1" ht="26.25" x14ac:dyDescent="0.25">
      <c r="A151" s="521" t="s">
        <v>419</v>
      </c>
      <c r="B151" s="522"/>
      <c r="C151" s="523" t="s">
        <v>481</v>
      </c>
      <c r="D151" s="524"/>
      <c r="E151" s="524"/>
      <c r="F151" s="524"/>
      <c r="G151" s="524"/>
      <c r="H151" s="524"/>
      <c r="I151" s="524"/>
      <c r="J151" s="525"/>
    </row>
    <row r="152" spans="1:10" s="4" customFormat="1" ht="26.25" x14ac:dyDescent="0.25">
      <c r="A152" s="522" t="s">
        <v>34</v>
      </c>
      <c r="B152" s="522"/>
      <c r="C152" s="526" t="s">
        <v>27</v>
      </c>
      <c r="D152" s="526"/>
      <c r="E152" s="526"/>
      <c r="F152" s="526"/>
      <c r="G152" s="526"/>
      <c r="H152" s="526"/>
      <c r="I152" s="526"/>
      <c r="J152" s="527"/>
    </row>
    <row r="153" spans="1:10" s="4" customFormat="1" ht="26.25" x14ac:dyDescent="0.25">
      <c r="A153" s="296"/>
      <c r="B153" s="296"/>
      <c r="C153" s="296"/>
      <c r="D153" s="297"/>
      <c r="E153" s="297"/>
      <c r="F153" s="297"/>
      <c r="G153" s="297"/>
      <c r="H153" s="297"/>
      <c r="I153" s="297" t="s">
        <v>601</v>
      </c>
      <c r="J153" s="297"/>
    </row>
    <row r="154" spans="1:10" s="4" customFormat="1" ht="26.25" x14ac:dyDescent="0.25">
      <c r="A154" s="528" t="s">
        <v>413</v>
      </c>
      <c r="B154" s="529"/>
      <c r="C154" s="529"/>
      <c r="D154" s="528" t="s">
        <v>414</v>
      </c>
      <c r="E154" s="529"/>
      <c r="F154" s="529"/>
      <c r="G154" s="529"/>
      <c r="H154" s="530"/>
      <c r="I154" s="531" t="s">
        <v>602</v>
      </c>
      <c r="J154" s="532"/>
    </row>
    <row r="155" spans="1:10" s="4" customFormat="1" ht="26.25" x14ac:dyDescent="0.25">
      <c r="A155" s="528" t="s">
        <v>415</v>
      </c>
      <c r="B155" s="529"/>
      <c r="C155" s="530"/>
      <c r="D155" s="533" t="s">
        <v>603</v>
      </c>
      <c r="E155" s="528" t="s">
        <v>604</v>
      </c>
      <c r="F155" s="529"/>
      <c r="G155" s="535"/>
      <c r="H155" s="536" t="s">
        <v>605</v>
      </c>
      <c r="I155" s="537" t="s">
        <v>606</v>
      </c>
      <c r="J155" s="537" t="s">
        <v>607</v>
      </c>
    </row>
    <row r="156" spans="1:10" s="4" customFormat="1" ht="78.75" x14ac:dyDescent="0.25">
      <c r="A156" s="298" t="s">
        <v>416</v>
      </c>
      <c r="B156" s="298" t="s">
        <v>417</v>
      </c>
      <c r="C156" s="299" t="s">
        <v>418</v>
      </c>
      <c r="D156" s="534"/>
      <c r="E156" s="340" t="s">
        <v>675</v>
      </c>
      <c r="F156" s="382" t="s">
        <v>676</v>
      </c>
      <c r="G156" s="388" t="s">
        <v>608</v>
      </c>
      <c r="H156" s="530"/>
      <c r="I156" s="538"/>
      <c r="J156" s="538"/>
    </row>
    <row r="157" spans="1:10" s="4" customFormat="1" ht="78.75" x14ac:dyDescent="0.25">
      <c r="A157" s="310">
        <v>1</v>
      </c>
      <c r="B157" s="12" t="s">
        <v>482</v>
      </c>
      <c r="C157" s="306"/>
      <c r="D157" s="307">
        <v>2100</v>
      </c>
      <c r="E157" s="307">
        <v>0</v>
      </c>
      <c r="F157" s="383">
        <v>0</v>
      </c>
      <c r="G157" s="389">
        <f>E157+F157</f>
        <v>0</v>
      </c>
      <c r="H157" s="386">
        <f>IFERROR(G157/D157*100-100,0)</f>
        <v>-100</v>
      </c>
      <c r="I157" s="308"/>
      <c r="J157" s="309">
        <f>IFERROR(I157/G157*100,)</f>
        <v>0</v>
      </c>
    </row>
    <row r="158" spans="1:10" s="4" customFormat="1" ht="78.75" x14ac:dyDescent="0.25">
      <c r="A158" s="310">
        <v>1</v>
      </c>
      <c r="B158" s="12" t="s">
        <v>483</v>
      </c>
      <c r="C158" s="300"/>
      <c r="D158" s="301">
        <v>2500</v>
      </c>
      <c r="E158" s="301">
        <v>0</v>
      </c>
      <c r="F158" s="384">
        <v>0</v>
      </c>
      <c r="G158" s="389">
        <f t="shared" ref="G158:G161" si="35">E158+F158</f>
        <v>0</v>
      </c>
      <c r="H158" s="386">
        <f t="shared" ref="H158:H162" si="36">IFERROR(G158/D158*100-100,0)</f>
        <v>-100</v>
      </c>
      <c r="I158" s="302"/>
      <c r="J158" s="303">
        <f t="shared" ref="J158:J162" si="37">IFERROR(I158/G158*100,)</f>
        <v>0</v>
      </c>
    </row>
    <row r="159" spans="1:10" s="4" customFormat="1" ht="94.5" x14ac:dyDescent="0.25">
      <c r="A159" s="310">
        <v>1</v>
      </c>
      <c r="B159" s="310" t="s">
        <v>484</v>
      </c>
      <c r="C159" s="300"/>
      <c r="D159" s="301">
        <v>2100</v>
      </c>
      <c r="E159" s="301">
        <v>0</v>
      </c>
      <c r="F159" s="384">
        <v>0</v>
      </c>
      <c r="G159" s="389">
        <f t="shared" si="35"/>
        <v>0</v>
      </c>
      <c r="H159" s="386">
        <f t="shared" si="36"/>
        <v>-100</v>
      </c>
      <c r="I159" s="302"/>
      <c r="J159" s="303">
        <f t="shared" si="37"/>
        <v>0</v>
      </c>
    </row>
    <row r="160" spans="1:10" s="4" customFormat="1" ht="94.5" x14ac:dyDescent="0.25">
      <c r="A160" s="310">
        <v>1</v>
      </c>
      <c r="B160" s="12" t="s">
        <v>485</v>
      </c>
      <c r="C160" s="300"/>
      <c r="D160" s="301">
        <v>2500</v>
      </c>
      <c r="E160" s="301">
        <v>0</v>
      </c>
      <c r="F160" s="384">
        <v>0</v>
      </c>
      <c r="G160" s="389">
        <f t="shared" si="35"/>
        <v>0</v>
      </c>
      <c r="H160" s="386">
        <f t="shared" si="36"/>
        <v>-100</v>
      </c>
      <c r="I160" s="302"/>
      <c r="J160" s="303">
        <f t="shared" si="37"/>
        <v>0</v>
      </c>
    </row>
    <row r="161" spans="1:10" s="4" customFormat="1" ht="31.5" x14ac:dyDescent="0.25">
      <c r="A161" s="310">
        <v>1</v>
      </c>
      <c r="B161" s="310" t="s">
        <v>488</v>
      </c>
      <c r="C161" s="300"/>
      <c r="D161" s="301">
        <v>23500</v>
      </c>
      <c r="E161" s="301">
        <v>0</v>
      </c>
      <c r="F161" s="384">
        <v>0</v>
      </c>
      <c r="G161" s="389">
        <f t="shared" si="35"/>
        <v>0</v>
      </c>
      <c r="H161" s="386">
        <f t="shared" si="36"/>
        <v>-100</v>
      </c>
      <c r="I161" s="302"/>
      <c r="J161" s="303">
        <f t="shared" si="37"/>
        <v>0</v>
      </c>
    </row>
    <row r="162" spans="1:10" s="4" customFormat="1" ht="26.25" x14ac:dyDescent="0.25">
      <c r="A162" s="539" t="s">
        <v>0</v>
      </c>
      <c r="B162" s="539"/>
      <c r="C162" s="539"/>
      <c r="D162" s="304">
        <f>SUM(D157:D161)</f>
        <v>32700</v>
      </c>
      <c r="E162" s="304">
        <f>SUM(E157:E161)</f>
        <v>0</v>
      </c>
      <c r="F162" s="385">
        <f>SUM(F157:F161)</f>
        <v>0</v>
      </c>
      <c r="G162" s="390">
        <f>SUM(G157:G161)</f>
        <v>0</v>
      </c>
      <c r="H162" s="387">
        <f t="shared" si="36"/>
        <v>-100</v>
      </c>
      <c r="I162" s="304">
        <f>SUM(I157:I161)</f>
        <v>0</v>
      </c>
      <c r="J162" s="304">
        <f t="shared" si="37"/>
        <v>0</v>
      </c>
    </row>
    <row r="163" spans="1:10" s="4" customFormat="1" x14ac:dyDescent="0.25"/>
    <row r="164" spans="1:10" s="4" customFormat="1" ht="26.25" x14ac:dyDescent="0.25">
      <c r="A164" s="521" t="s">
        <v>419</v>
      </c>
      <c r="B164" s="522"/>
      <c r="C164" s="523" t="s">
        <v>489</v>
      </c>
      <c r="D164" s="524"/>
      <c r="E164" s="524"/>
      <c r="F164" s="524"/>
      <c r="G164" s="524"/>
      <c r="H164" s="524"/>
      <c r="I164" s="524"/>
      <c r="J164" s="525"/>
    </row>
    <row r="165" spans="1:10" s="4" customFormat="1" ht="26.25" x14ac:dyDescent="0.25">
      <c r="A165" s="522" t="s">
        <v>34</v>
      </c>
      <c r="B165" s="522"/>
      <c r="C165" s="526" t="s">
        <v>28</v>
      </c>
      <c r="D165" s="526"/>
      <c r="E165" s="526"/>
      <c r="F165" s="526"/>
      <c r="G165" s="526"/>
      <c r="H165" s="526"/>
      <c r="I165" s="526"/>
      <c r="J165" s="527"/>
    </row>
    <row r="166" spans="1:10" s="4" customFormat="1" ht="26.25" x14ac:dyDescent="0.25">
      <c r="A166" s="296"/>
      <c r="B166" s="296"/>
      <c r="C166" s="296"/>
      <c r="D166" s="297"/>
      <c r="E166" s="297"/>
      <c r="F166" s="297"/>
      <c r="G166" s="297"/>
      <c r="H166" s="297"/>
      <c r="I166" s="297" t="s">
        <v>601</v>
      </c>
      <c r="J166" s="297"/>
    </row>
    <row r="167" spans="1:10" s="4" customFormat="1" ht="26.25" x14ac:dyDescent="0.25">
      <c r="A167" s="528" t="s">
        <v>413</v>
      </c>
      <c r="B167" s="529"/>
      <c r="C167" s="529"/>
      <c r="D167" s="528" t="s">
        <v>414</v>
      </c>
      <c r="E167" s="529"/>
      <c r="F167" s="529"/>
      <c r="G167" s="529"/>
      <c r="H167" s="530"/>
      <c r="I167" s="531" t="s">
        <v>602</v>
      </c>
      <c r="J167" s="532"/>
    </row>
    <row r="168" spans="1:10" s="4" customFormat="1" ht="26.25" x14ac:dyDescent="0.25">
      <c r="A168" s="528" t="s">
        <v>415</v>
      </c>
      <c r="B168" s="529"/>
      <c r="C168" s="530"/>
      <c r="D168" s="533" t="s">
        <v>603</v>
      </c>
      <c r="E168" s="528" t="s">
        <v>604</v>
      </c>
      <c r="F168" s="529"/>
      <c r="G168" s="535"/>
      <c r="H168" s="536" t="s">
        <v>605</v>
      </c>
      <c r="I168" s="537" t="s">
        <v>606</v>
      </c>
      <c r="J168" s="537" t="s">
        <v>607</v>
      </c>
    </row>
    <row r="169" spans="1:10" s="4" customFormat="1" ht="78.75" x14ac:dyDescent="0.25">
      <c r="A169" s="298" t="s">
        <v>416</v>
      </c>
      <c r="B169" s="298" t="s">
        <v>417</v>
      </c>
      <c r="C169" s="299" t="s">
        <v>418</v>
      </c>
      <c r="D169" s="534"/>
      <c r="E169" s="340" t="s">
        <v>675</v>
      </c>
      <c r="F169" s="382" t="s">
        <v>676</v>
      </c>
      <c r="G169" s="388" t="s">
        <v>608</v>
      </c>
      <c r="H169" s="530"/>
      <c r="I169" s="538"/>
      <c r="J169" s="538"/>
    </row>
    <row r="170" spans="1:10" s="4" customFormat="1" ht="63" x14ac:dyDescent="0.25">
      <c r="A170" s="310">
        <v>12</v>
      </c>
      <c r="B170" s="310" t="s">
        <v>561</v>
      </c>
      <c r="C170" s="306"/>
      <c r="D170" s="307">
        <v>18619.740000000002</v>
      </c>
      <c r="E170" s="307">
        <v>11830.4</v>
      </c>
      <c r="F170" s="383">
        <f>15705.81-E170</f>
        <v>3875.41</v>
      </c>
      <c r="G170" s="389">
        <f>E170+F170</f>
        <v>15705.81</v>
      </c>
      <c r="H170" s="386">
        <f>IFERROR(G170/D170*100-100,0)</f>
        <v>-15.649681467088158</v>
      </c>
      <c r="I170" s="308"/>
      <c r="J170" s="309">
        <f>IFERROR(I170/G170*100,)</f>
        <v>0</v>
      </c>
    </row>
    <row r="171" spans="1:10" s="4" customFormat="1" ht="26.25" x14ac:dyDescent="0.25">
      <c r="A171" s="539" t="s">
        <v>0</v>
      </c>
      <c r="B171" s="539"/>
      <c r="C171" s="539"/>
      <c r="D171" s="304">
        <f>SUM(D170:D170)</f>
        <v>18619.740000000002</v>
      </c>
      <c r="E171" s="304">
        <f>SUM(E170:E170)</f>
        <v>11830.4</v>
      </c>
      <c r="F171" s="385">
        <f>SUM(F170:F170)</f>
        <v>3875.41</v>
      </c>
      <c r="G171" s="390">
        <f>SUM(G170:G170)</f>
        <v>15705.81</v>
      </c>
      <c r="H171" s="387">
        <f t="shared" ref="H171" si="38">IFERROR(G171/D171*100-100,0)</f>
        <v>-15.649681467088158</v>
      </c>
      <c r="I171" s="304">
        <f>SUM(I170:I170)</f>
        <v>0</v>
      </c>
      <c r="J171" s="304">
        <f t="shared" ref="J171" si="39">IFERROR(I171/G171*100,)</f>
        <v>0</v>
      </c>
    </row>
    <row r="172" spans="1:10" s="4" customFormat="1" x14ac:dyDescent="0.25"/>
    <row r="173" spans="1:10" s="4" customFormat="1" ht="26.25" x14ac:dyDescent="0.25">
      <c r="A173" s="521" t="s">
        <v>419</v>
      </c>
      <c r="B173" s="522"/>
      <c r="C173" s="523" t="s">
        <v>490</v>
      </c>
      <c r="D173" s="524"/>
      <c r="E173" s="524"/>
      <c r="F173" s="524"/>
      <c r="G173" s="524"/>
      <c r="H173" s="524"/>
      <c r="I173" s="524"/>
      <c r="J173" s="525"/>
    </row>
    <row r="174" spans="1:10" s="4" customFormat="1" ht="26.25" x14ac:dyDescent="0.25">
      <c r="A174" s="522" t="s">
        <v>34</v>
      </c>
      <c r="B174" s="522"/>
      <c r="C174" s="526" t="s">
        <v>109</v>
      </c>
      <c r="D174" s="526"/>
      <c r="E174" s="526"/>
      <c r="F174" s="526"/>
      <c r="G174" s="526"/>
      <c r="H174" s="526"/>
      <c r="I174" s="526"/>
      <c r="J174" s="527"/>
    </row>
    <row r="175" spans="1:10" s="4" customFormat="1" ht="26.25" x14ac:dyDescent="0.25">
      <c r="A175" s="296"/>
      <c r="B175" s="296"/>
      <c r="C175" s="296"/>
      <c r="D175" s="297"/>
      <c r="E175" s="297"/>
      <c r="F175" s="297"/>
      <c r="G175" s="297"/>
      <c r="H175" s="297"/>
      <c r="I175" s="297" t="s">
        <v>601</v>
      </c>
      <c r="J175" s="297"/>
    </row>
    <row r="176" spans="1:10" s="4" customFormat="1" ht="26.25" x14ac:dyDescent="0.25">
      <c r="A176" s="528" t="s">
        <v>413</v>
      </c>
      <c r="B176" s="529"/>
      <c r="C176" s="529"/>
      <c r="D176" s="528" t="s">
        <v>414</v>
      </c>
      <c r="E176" s="529"/>
      <c r="F176" s="529"/>
      <c r="G176" s="529"/>
      <c r="H176" s="530"/>
      <c r="I176" s="531" t="s">
        <v>602</v>
      </c>
      <c r="J176" s="532"/>
    </row>
    <row r="177" spans="1:13" s="4" customFormat="1" ht="26.25" x14ac:dyDescent="0.25">
      <c r="A177" s="528" t="s">
        <v>415</v>
      </c>
      <c r="B177" s="529"/>
      <c r="C177" s="530"/>
      <c r="D177" s="533" t="s">
        <v>603</v>
      </c>
      <c r="E177" s="528" t="s">
        <v>604</v>
      </c>
      <c r="F177" s="529"/>
      <c r="G177" s="535"/>
      <c r="H177" s="536" t="s">
        <v>605</v>
      </c>
      <c r="I177" s="537" t="s">
        <v>606</v>
      </c>
      <c r="J177" s="537" t="s">
        <v>607</v>
      </c>
    </row>
    <row r="178" spans="1:13" s="4" customFormat="1" ht="78.75" x14ac:dyDescent="0.25">
      <c r="A178" s="298" t="s">
        <v>416</v>
      </c>
      <c r="B178" s="298" t="s">
        <v>417</v>
      </c>
      <c r="C178" s="299" t="s">
        <v>418</v>
      </c>
      <c r="D178" s="534"/>
      <c r="E178" s="340" t="s">
        <v>675</v>
      </c>
      <c r="F178" s="382" t="s">
        <v>676</v>
      </c>
      <c r="G178" s="388" t="s">
        <v>608</v>
      </c>
      <c r="H178" s="530"/>
      <c r="I178" s="538"/>
      <c r="J178" s="538"/>
    </row>
    <row r="179" spans="1:13" s="4" customFormat="1" ht="47.25" x14ac:dyDescent="0.25">
      <c r="A179" s="310">
        <v>12</v>
      </c>
      <c r="B179" s="310" t="s">
        <v>670</v>
      </c>
      <c r="C179" s="306"/>
      <c r="D179" s="307">
        <v>9280.73</v>
      </c>
      <c r="E179" s="307">
        <v>6265.24</v>
      </c>
      <c r="F179" s="383">
        <f>10130.86-E179</f>
        <v>3865.6200000000008</v>
      </c>
      <c r="G179" s="389">
        <f>E179+F179</f>
        <v>10130.86</v>
      </c>
      <c r="H179" s="386">
        <f>IFERROR(G179/D179*100-100,0)</f>
        <v>9.1601630475188927</v>
      </c>
      <c r="I179" s="308"/>
      <c r="J179" s="309">
        <f>IFERROR(I179/G179*100,)</f>
        <v>0</v>
      </c>
    </row>
    <row r="180" spans="1:13" s="4" customFormat="1" ht="26.25" x14ac:dyDescent="0.25">
      <c r="A180" s="539" t="s">
        <v>0</v>
      </c>
      <c r="B180" s="539"/>
      <c r="C180" s="539"/>
      <c r="D180" s="304">
        <f>SUM(D179:D179)</f>
        <v>9280.73</v>
      </c>
      <c r="E180" s="304">
        <f>SUM(E179:E179)</f>
        <v>6265.24</v>
      </c>
      <c r="F180" s="385">
        <f>SUM(F179:F179)</f>
        <v>3865.6200000000008</v>
      </c>
      <c r="G180" s="390">
        <f>SUM(G179:G179)</f>
        <v>10130.86</v>
      </c>
      <c r="H180" s="387">
        <f t="shared" ref="H180" si="40">IFERROR(G180/D180*100-100,0)</f>
        <v>9.1601630475188927</v>
      </c>
      <c r="I180" s="304">
        <f>SUM(I179:I179)</f>
        <v>0</v>
      </c>
      <c r="J180" s="304">
        <f t="shared" ref="J180" si="41">IFERROR(I180/G180*100,)</f>
        <v>0</v>
      </c>
    </row>
    <row r="181" spans="1:13" s="4" customFormat="1" x14ac:dyDescent="0.25"/>
    <row r="182" spans="1:13" s="4" customFormat="1" ht="26.25" x14ac:dyDescent="0.25">
      <c r="A182" s="521" t="s">
        <v>419</v>
      </c>
      <c r="B182" s="522"/>
      <c r="C182" s="523" t="s">
        <v>491</v>
      </c>
      <c r="D182" s="524"/>
      <c r="E182" s="524"/>
      <c r="F182" s="524"/>
      <c r="G182" s="524"/>
      <c r="H182" s="524"/>
      <c r="I182" s="524"/>
      <c r="J182" s="525"/>
    </row>
    <row r="183" spans="1:13" s="4" customFormat="1" ht="26.25" x14ac:dyDescent="0.25">
      <c r="A183" s="522" t="s">
        <v>34</v>
      </c>
      <c r="B183" s="522"/>
      <c r="C183" s="526" t="s">
        <v>20</v>
      </c>
      <c r="D183" s="526"/>
      <c r="E183" s="526"/>
      <c r="F183" s="526"/>
      <c r="G183" s="526"/>
      <c r="H183" s="526"/>
      <c r="I183" s="526"/>
      <c r="J183" s="527"/>
    </row>
    <row r="184" spans="1:13" s="4" customFormat="1" ht="26.25" x14ac:dyDescent="0.25">
      <c r="A184" s="296"/>
      <c r="B184" s="296"/>
      <c r="C184" s="296"/>
      <c r="D184" s="297"/>
      <c r="E184" s="297"/>
      <c r="F184" s="297"/>
      <c r="G184" s="297"/>
      <c r="H184" s="297"/>
      <c r="I184" s="297" t="s">
        <v>601</v>
      </c>
      <c r="J184" s="297"/>
    </row>
    <row r="185" spans="1:13" s="4" customFormat="1" ht="26.25" x14ac:dyDescent="0.25">
      <c r="A185" s="528" t="s">
        <v>413</v>
      </c>
      <c r="B185" s="529"/>
      <c r="C185" s="529"/>
      <c r="D185" s="528" t="s">
        <v>414</v>
      </c>
      <c r="E185" s="529"/>
      <c r="F185" s="529"/>
      <c r="G185" s="529"/>
      <c r="H185" s="530"/>
      <c r="I185" s="531" t="s">
        <v>602</v>
      </c>
      <c r="J185" s="532"/>
    </row>
    <row r="186" spans="1:13" s="4" customFormat="1" ht="26.25" x14ac:dyDescent="0.25">
      <c r="A186" s="528" t="s">
        <v>415</v>
      </c>
      <c r="B186" s="529"/>
      <c r="C186" s="530"/>
      <c r="D186" s="533" t="s">
        <v>603</v>
      </c>
      <c r="E186" s="528" t="s">
        <v>604</v>
      </c>
      <c r="F186" s="529"/>
      <c r="G186" s="535"/>
      <c r="H186" s="536" t="s">
        <v>605</v>
      </c>
      <c r="I186" s="537" t="s">
        <v>606</v>
      </c>
      <c r="J186" s="537" t="s">
        <v>607</v>
      </c>
    </row>
    <row r="187" spans="1:13" s="4" customFormat="1" ht="78.75" x14ac:dyDescent="0.25">
      <c r="A187" s="298" t="s">
        <v>416</v>
      </c>
      <c r="B187" s="298" t="s">
        <v>417</v>
      </c>
      <c r="C187" s="299" t="s">
        <v>418</v>
      </c>
      <c r="D187" s="534"/>
      <c r="E187" s="340" t="s">
        <v>675</v>
      </c>
      <c r="F187" s="382" t="s">
        <v>676</v>
      </c>
      <c r="G187" s="388" t="s">
        <v>608</v>
      </c>
      <c r="H187" s="530"/>
      <c r="I187" s="538"/>
      <c r="J187" s="538"/>
      <c r="M187" s="29"/>
    </row>
    <row r="188" spans="1:13" s="4" customFormat="1" ht="47.25" x14ac:dyDescent="0.25">
      <c r="A188" s="310">
        <v>12</v>
      </c>
      <c r="B188" s="310" t="s">
        <v>669</v>
      </c>
      <c r="C188" s="306"/>
      <c r="D188" s="307">
        <v>80242.41</v>
      </c>
      <c r="E188" s="307">
        <v>53525.59</v>
      </c>
      <c r="F188" s="383">
        <f>79935.99-E188</f>
        <v>26410.400000000009</v>
      </c>
      <c r="G188" s="389">
        <f>E188+F188</f>
        <v>79935.990000000005</v>
      </c>
      <c r="H188" s="386">
        <f>IFERROR(G188/D188*100-100,0)</f>
        <v>-0.38186789255207998</v>
      </c>
      <c r="I188" s="308"/>
      <c r="J188" s="309">
        <f>IFERROR(I188/G188*100,)</f>
        <v>0</v>
      </c>
    </row>
    <row r="189" spans="1:13" s="4" customFormat="1" ht="26.25" x14ac:dyDescent="0.25">
      <c r="A189" s="539" t="s">
        <v>0</v>
      </c>
      <c r="B189" s="539"/>
      <c r="C189" s="539"/>
      <c r="D189" s="304">
        <f>SUM(D188:D188)</f>
        <v>80242.41</v>
      </c>
      <c r="E189" s="304">
        <f>SUM(E188:E188)</f>
        <v>53525.59</v>
      </c>
      <c r="F189" s="385">
        <f>SUM(F188:F188)</f>
        <v>26410.400000000009</v>
      </c>
      <c r="G189" s="390">
        <f>SUM(G188:G188)</f>
        <v>79935.990000000005</v>
      </c>
      <c r="H189" s="387">
        <f t="shared" ref="H189" si="42">IFERROR(G189/D189*100-100,0)</f>
        <v>-0.38186789255207998</v>
      </c>
      <c r="I189" s="304">
        <f>SUM(I188:I188)</f>
        <v>0</v>
      </c>
      <c r="J189" s="304">
        <f t="shared" ref="J189" si="43">IFERROR(I189/G189*100,)</f>
        <v>0</v>
      </c>
    </row>
    <row r="190" spans="1:13" s="4" customFormat="1" x14ac:dyDescent="0.25"/>
    <row r="191" spans="1:13" s="4" customFormat="1" ht="26.25" x14ac:dyDescent="0.25">
      <c r="A191" s="521" t="s">
        <v>419</v>
      </c>
      <c r="B191" s="522"/>
      <c r="C191" s="523" t="s">
        <v>492</v>
      </c>
      <c r="D191" s="524"/>
      <c r="E191" s="524"/>
      <c r="F191" s="524"/>
      <c r="G191" s="524"/>
      <c r="H191" s="524"/>
      <c r="I191" s="524"/>
      <c r="J191" s="525"/>
    </row>
    <row r="192" spans="1:13" s="4" customFormat="1" ht="26.25" x14ac:dyDescent="0.25">
      <c r="A192" s="522" t="s">
        <v>34</v>
      </c>
      <c r="B192" s="522"/>
      <c r="C192" s="526" t="s">
        <v>28</v>
      </c>
      <c r="D192" s="526"/>
      <c r="E192" s="526"/>
      <c r="F192" s="526"/>
      <c r="G192" s="526"/>
      <c r="H192" s="526"/>
      <c r="I192" s="526"/>
      <c r="J192" s="527"/>
    </row>
    <row r="193" spans="1:10" s="4" customFormat="1" ht="26.25" x14ac:dyDescent="0.25">
      <c r="A193" s="296"/>
      <c r="B193" s="296"/>
      <c r="C193" s="296"/>
      <c r="D193" s="297"/>
      <c r="E193" s="297"/>
      <c r="F193" s="297"/>
      <c r="G193" s="297"/>
      <c r="H193" s="297"/>
      <c r="I193" s="297" t="s">
        <v>601</v>
      </c>
      <c r="J193" s="297"/>
    </row>
    <row r="194" spans="1:10" s="4" customFormat="1" ht="26.25" x14ac:dyDescent="0.25">
      <c r="A194" s="528" t="s">
        <v>413</v>
      </c>
      <c r="B194" s="529"/>
      <c r="C194" s="529"/>
      <c r="D194" s="528" t="s">
        <v>414</v>
      </c>
      <c r="E194" s="529"/>
      <c r="F194" s="529"/>
      <c r="G194" s="529"/>
      <c r="H194" s="530"/>
      <c r="I194" s="531" t="s">
        <v>602</v>
      </c>
      <c r="J194" s="532"/>
    </row>
    <row r="195" spans="1:10" s="4" customFormat="1" ht="26.25" x14ac:dyDescent="0.25">
      <c r="A195" s="528" t="s">
        <v>415</v>
      </c>
      <c r="B195" s="529"/>
      <c r="C195" s="530"/>
      <c r="D195" s="533" t="s">
        <v>603</v>
      </c>
      <c r="E195" s="528" t="s">
        <v>604</v>
      </c>
      <c r="F195" s="529"/>
      <c r="G195" s="535"/>
      <c r="H195" s="536" t="s">
        <v>605</v>
      </c>
      <c r="I195" s="537" t="s">
        <v>606</v>
      </c>
      <c r="J195" s="537" t="s">
        <v>607</v>
      </c>
    </row>
    <row r="196" spans="1:10" s="4" customFormat="1" ht="78.75" x14ac:dyDescent="0.25">
      <c r="A196" s="298" t="s">
        <v>416</v>
      </c>
      <c r="B196" s="298" t="s">
        <v>417</v>
      </c>
      <c r="C196" s="299" t="s">
        <v>418</v>
      </c>
      <c r="D196" s="534"/>
      <c r="E196" s="340" t="s">
        <v>675</v>
      </c>
      <c r="F196" s="391" t="s">
        <v>676</v>
      </c>
      <c r="G196" s="388" t="s">
        <v>608</v>
      </c>
      <c r="H196" s="530"/>
      <c r="I196" s="538"/>
      <c r="J196" s="538"/>
    </row>
    <row r="197" spans="1:10" s="4" customFormat="1" ht="26.25" x14ac:dyDescent="0.25">
      <c r="A197" s="310">
        <v>1</v>
      </c>
      <c r="B197" s="310" t="s">
        <v>493</v>
      </c>
      <c r="C197" s="306"/>
      <c r="D197" s="307">
        <v>10000</v>
      </c>
      <c r="E197" s="307">
        <v>0</v>
      </c>
      <c r="F197" s="383">
        <f>4000-1404.72</f>
        <v>2595.2799999999997</v>
      </c>
      <c r="G197" s="389">
        <f>E197+F197</f>
        <v>2595.2799999999997</v>
      </c>
      <c r="H197" s="386">
        <f>IFERROR(G197/D197*100-100,0)</f>
        <v>-74.047200000000004</v>
      </c>
      <c r="I197" s="308"/>
      <c r="J197" s="309">
        <f>IFERROR(I197/G197*100,)</f>
        <v>0</v>
      </c>
    </row>
    <row r="198" spans="1:10" s="4" customFormat="1" ht="26.25" x14ac:dyDescent="0.25">
      <c r="A198" s="539" t="s">
        <v>0</v>
      </c>
      <c r="B198" s="539"/>
      <c r="C198" s="539"/>
      <c r="D198" s="304">
        <f>SUM(D197:D197)</f>
        <v>10000</v>
      </c>
      <c r="E198" s="304">
        <f>SUM(E197:E197)</f>
        <v>0</v>
      </c>
      <c r="F198" s="385">
        <f>SUM(F197:F197)</f>
        <v>2595.2799999999997</v>
      </c>
      <c r="G198" s="390">
        <f>SUM(G197:G197)</f>
        <v>2595.2799999999997</v>
      </c>
      <c r="H198" s="387">
        <f t="shared" ref="H198" si="44">IFERROR(G198/D198*100-100,0)</f>
        <v>-74.047200000000004</v>
      </c>
      <c r="I198" s="304">
        <f>SUM(I197:I197)</f>
        <v>0</v>
      </c>
      <c r="J198" s="304">
        <f t="shared" ref="J198" si="45">IFERROR(I198/G198*100,)</f>
        <v>0</v>
      </c>
    </row>
    <row r="199" spans="1:10" s="4" customFormat="1" x14ac:dyDescent="0.25"/>
    <row r="200" spans="1:10" ht="26.25" x14ac:dyDescent="0.4">
      <c r="A200" s="540"/>
      <c r="B200" s="540"/>
      <c r="C200" s="540"/>
      <c r="D200" s="540"/>
      <c r="E200" s="540"/>
      <c r="F200" s="540"/>
      <c r="G200" s="540"/>
      <c r="H200" s="540"/>
      <c r="I200" s="540"/>
      <c r="J200" s="540"/>
    </row>
    <row r="201" spans="1:10" ht="26.25" x14ac:dyDescent="0.25">
      <c r="A201" s="541" t="s">
        <v>219</v>
      </c>
      <c r="B201" s="542"/>
      <c r="C201" s="542"/>
      <c r="D201" s="542"/>
      <c r="E201" s="542"/>
      <c r="F201" s="542"/>
      <c r="G201" s="542"/>
      <c r="H201" s="542"/>
      <c r="I201" s="542"/>
      <c r="J201" s="543"/>
    </row>
    <row r="202" spans="1:10" ht="26.25" x14ac:dyDescent="0.4">
      <c r="A202" s="544"/>
      <c r="B202" s="545"/>
      <c r="C202" s="545"/>
      <c r="D202" s="545"/>
      <c r="E202" s="545"/>
      <c r="F202" s="545"/>
      <c r="G202" s="545"/>
      <c r="H202" s="545"/>
      <c r="I202" s="545"/>
      <c r="J202" s="546"/>
    </row>
    <row r="203" spans="1:10" ht="26.25" x14ac:dyDescent="0.4">
      <c r="A203" s="305"/>
      <c r="B203" s="305"/>
      <c r="C203" s="305"/>
      <c r="D203" s="312">
        <f>D198+D189+D180+D171+D162+D149+D134+D122+D110+D101+D92+D77+D57+D40</f>
        <v>1761859.6300000001</v>
      </c>
      <c r="E203" s="312">
        <f>E198+E189+E180+E171+E162+E149+E134+E122+E110+E101+E92+E77+E57+E40</f>
        <v>1053340.1200000001</v>
      </c>
      <c r="F203" s="312">
        <f>F198+F189+F180+F171+F162+F149+F134+F122+F110+F101+F92+F77+F57+F40</f>
        <v>521496.39</v>
      </c>
      <c r="G203" s="312">
        <f>G198+G189+G180+G171+G162+G149+G134+G122+G110+G101+G92+G77+G57+G40</f>
        <v>1574836.5099999998</v>
      </c>
      <c r="H203" s="305"/>
      <c r="I203" s="305"/>
      <c r="J203" s="305"/>
    </row>
    <row r="204" spans="1:10" ht="26.25" x14ac:dyDescent="0.25">
      <c r="A204" s="541" t="s">
        <v>609</v>
      </c>
      <c r="B204" s="542"/>
      <c r="C204" s="542"/>
      <c r="D204" s="542"/>
      <c r="E204" s="542"/>
      <c r="F204" s="542"/>
      <c r="G204" s="542"/>
      <c r="H204" s="542"/>
      <c r="I204" s="542"/>
      <c r="J204" s="543"/>
    </row>
    <row r="205" spans="1:10" x14ac:dyDescent="0.25">
      <c r="A205" s="547" t="s">
        <v>610</v>
      </c>
      <c r="B205" s="548"/>
      <c r="C205" s="548"/>
      <c r="D205" s="548"/>
      <c r="E205" s="548"/>
      <c r="F205" s="548"/>
      <c r="G205" s="548"/>
      <c r="H205" s="548"/>
      <c r="I205" s="548"/>
      <c r="J205" s="549"/>
    </row>
    <row r="206" spans="1:10" x14ac:dyDescent="0.25">
      <c r="A206" s="550"/>
      <c r="B206" s="551"/>
      <c r="C206" s="551"/>
      <c r="D206" s="551"/>
      <c r="E206" s="551"/>
      <c r="F206" s="551"/>
      <c r="G206" s="551"/>
      <c r="H206" s="551"/>
      <c r="I206" s="551"/>
      <c r="J206" s="552"/>
    </row>
  </sheetData>
  <mergeCells count="203">
    <mergeCell ref="A198:C198"/>
    <mergeCell ref="A195:C195"/>
    <mergeCell ref="D195:D196"/>
    <mergeCell ref="E195:G195"/>
    <mergeCell ref="H195:H196"/>
    <mergeCell ref="I195:I196"/>
    <mergeCell ref="J195:J196"/>
    <mergeCell ref="A189:C189"/>
    <mergeCell ref="A191:B191"/>
    <mergeCell ref="C191:J191"/>
    <mergeCell ref="A192:B192"/>
    <mergeCell ref="C192:J192"/>
    <mergeCell ref="A194:C194"/>
    <mergeCell ref="D194:H194"/>
    <mergeCell ref="I194:J194"/>
    <mergeCell ref="A186:C186"/>
    <mergeCell ref="D186:D187"/>
    <mergeCell ref="E186:G186"/>
    <mergeCell ref="H186:H187"/>
    <mergeCell ref="I186:I187"/>
    <mergeCell ref="J186:J187"/>
    <mergeCell ref="A180:C180"/>
    <mergeCell ref="A182:B182"/>
    <mergeCell ref="C182:J182"/>
    <mergeCell ref="A183:B183"/>
    <mergeCell ref="C183:J183"/>
    <mergeCell ref="A185:C185"/>
    <mergeCell ref="D185:H185"/>
    <mergeCell ref="I185:J185"/>
    <mergeCell ref="A177:C177"/>
    <mergeCell ref="D177:D178"/>
    <mergeCell ref="E177:G177"/>
    <mergeCell ref="H177:H178"/>
    <mergeCell ref="I177:I178"/>
    <mergeCell ref="J177:J178"/>
    <mergeCell ref="A171:C171"/>
    <mergeCell ref="A173:B173"/>
    <mergeCell ref="C173:J173"/>
    <mergeCell ref="A174:B174"/>
    <mergeCell ref="C174:J174"/>
    <mergeCell ref="A176:C176"/>
    <mergeCell ref="D176:H176"/>
    <mergeCell ref="I176:J176"/>
    <mergeCell ref="A168:C168"/>
    <mergeCell ref="D168:D169"/>
    <mergeCell ref="E168:G168"/>
    <mergeCell ref="H168:H169"/>
    <mergeCell ref="I168:I169"/>
    <mergeCell ref="J168:J169"/>
    <mergeCell ref="A162:C162"/>
    <mergeCell ref="A164:B164"/>
    <mergeCell ref="C164:J164"/>
    <mergeCell ref="A165:B165"/>
    <mergeCell ref="C165:J165"/>
    <mergeCell ref="A167:C167"/>
    <mergeCell ref="D167:H167"/>
    <mergeCell ref="I167:J167"/>
    <mergeCell ref="A155:C155"/>
    <mergeCell ref="D155:D156"/>
    <mergeCell ref="E155:G155"/>
    <mergeCell ref="H155:H156"/>
    <mergeCell ref="I155:I156"/>
    <mergeCell ref="J155:J156"/>
    <mergeCell ref="A149:C149"/>
    <mergeCell ref="A151:B151"/>
    <mergeCell ref="C151:J151"/>
    <mergeCell ref="A152:B152"/>
    <mergeCell ref="C152:J152"/>
    <mergeCell ref="A154:C154"/>
    <mergeCell ref="D154:H154"/>
    <mergeCell ref="I154:J154"/>
    <mergeCell ref="A140:C140"/>
    <mergeCell ref="D140:D141"/>
    <mergeCell ref="E140:G140"/>
    <mergeCell ref="H140:H141"/>
    <mergeCell ref="I140:I141"/>
    <mergeCell ref="J140:J141"/>
    <mergeCell ref="A134:C134"/>
    <mergeCell ref="A136:B136"/>
    <mergeCell ref="C136:J136"/>
    <mergeCell ref="A137:B137"/>
    <mergeCell ref="C137:J137"/>
    <mergeCell ref="A139:C139"/>
    <mergeCell ref="D139:H139"/>
    <mergeCell ref="I139:J139"/>
    <mergeCell ref="A128:C128"/>
    <mergeCell ref="D128:D129"/>
    <mergeCell ref="E128:G128"/>
    <mergeCell ref="H128:H129"/>
    <mergeCell ref="I128:I129"/>
    <mergeCell ref="J128:J129"/>
    <mergeCell ref="A122:C122"/>
    <mergeCell ref="A124:B124"/>
    <mergeCell ref="C124:J124"/>
    <mergeCell ref="A125:B125"/>
    <mergeCell ref="C125:J125"/>
    <mergeCell ref="A127:C127"/>
    <mergeCell ref="D127:H127"/>
    <mergeCell ref="I127:J127"/>
    <mergeCell ref="A116:C116"/>
    <mergeCell ref="D116:D117"/>
    <mergeCell ref="E116:G116"/>
    <mergeCell ref="H116:H117"/>
    <mergeCell ref="I116:I117"/>
    <mergeCell ref="J116:J117"/>
    <mergeCell ref="A110:C110"/>
    <mergeCell ref="A112:B112"/>
    <mergeCell ref="C112:J112"/>
    <mergeCell ref="A113:B113"/>
    <mergeCell ref="C113:J113"/>
    <mergeCell ref="A115:C115"/>
    <mergeCell ref="D115:H115"/>
    <mergeCell ref="I115:J115"/>
    <mergeCell ref="A107:C107"/>
    <mergeCell ref="D107:D108"/>
    <mergeCell ref="E107:G107"/>
    <mergeCell ref="H107:H108"/>
    <mergeCell ref="I107:I108"/>
    <mergeCell ref="J107:J108"/>
    <mergeCell ref="A101:C101"/>
    <mergeCell ref="A103:B103"/>
    <mergeCell ref="C103:J103"/>
    <mergeCell ref="A104:B104"/>
    <mergeCell ref="C104:J104"/>
    <mergeCell ref="A106:C106"/>
    <mergeCell ref="D106:H106"/>
    <mergeCell ref="I106:J106"/>
    <mergeCell ref="A80:B80"/>
    <mergeCell ref="C80:J80"/>
    <mergeCell ref="A82:C82"/>
    <mergeCell ref="D82:H82"/>
    <mergeCell ref="I82:J82"/>
    <mergeCell ref="A98:C98"/>
    <mergeCell ref="D98:D99"/>
    <mergeCell ref="E98:G98"/>
    <mergeCell ref="H98:H99"/>
    <mergeCell ref="I98:I99"/>
    <mergeCell ref="J98:J99"/>
    <mergeCell ref="A92:C92"/>
    <mergeCell ref="A94:B94"/>
    <mergeCell ref="C94:J94"/>
    <mergeCell ref="A95:B95"/>
    <mergeCell ref="C95:J95"/>
    <mergeCell ref="A97:C97"/>
    <mergeCell ref="D97:H97"/>
    <mergeCell ref="I97:J97"/>
    <mergeCell ref="A202:J202"/>
    <mergeCell ref="A204:J204"/>
    <mergeCell ref="A205:J206"/>
    <mergeCell ref="A42:B42"/>
    <mergeCell ref="C42:J42"/>
    <mergeCell ref="A43:B43"/>
    <mergeCell ref="C43:J43"/>
    <mergeCell ref="A45:C45"/>
    <mergeCell ref="D45:H45"/>
    <mergeCell ref="I45:J45"/>
    <mergeCell ref="A46:C46"/>
    <mergeCell ref="D46:D47"/>
    <mergeCell ref="E46:G46"/>
    <mergeCell ref="H46:H47"/>
    <mergeCell ref="I46:I47"/>
    <mergeCell ref="J46:J47"/>
    <mergeCell ref="A63:C63"/>
    <mergeCell ref="D63:D64"/>
    <mergeCell ref="E63:G63"/>
    <mergeCell ref="H63:H64"/>
    <mergeCell ref="I63:I64"/>
    <mergeCell ref="J63:J64"/>
    <mergeCell ref="A57:C57"/>
    <mergeCell ref="A59:B59"/>
    <mergeCell ref="A7:C7"/>
    <mergeCell ref="D7:D8"/>
    <mergeCell ref="E7:G7"/>
    <mergeCell ref="H7:H8"/>
    <mergeCell ref="I7:I8"/>
    <mergeCell ref="J7:J8"/>
    <mergeCell ref="A40:C40"/>
    <mergeCell ref="A200:J200"/>
    <mergeCell ref="A201:J201"/>
    <mergeCell ref="C59:J59"/>
    <mergeCell ref="A60:B60"/>
    <mergeCell ref="C60:J60"/>
    <mergeCell ref="A62:C62"/>
    <mergeCell ref="D62:H62"/>
    <mergeCell ref="I62:J62"/>
    <mergeCell ref="A83:C83"/>
    <mergeCell ref="D83:D84"/>
    <mergeCell ref="E83:G83"/>
    <mergeCell ref="H83:H84"/>
    <mergeCell ref="I83:I84"/>
    <mergeCell ref="J83:J84"/>
    <mergeCell ref="A77:C77"/>
    <mergeCell ref="A79:B79"/>
    <mergeCell ref="C79:J79"/>
    <mergeCell ref="A1:J1"/>
    <mergeCell ref="A2:J2"/>
    <mergeCell ref="A3:B3"/>
    <mergeCell ref="C3:J3"/>
    <mergeCell ref="A4:B4"/>
    <mergeCell ref="C4:J4"/>
    <mergeCell ref="A6:C6"/>
    <mergeCell ref="D6:H6"/>
    <mergeCell ref="I6:J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outlinePr summaryBelow="0"/>
  </sheetPr>
  <dimension ref="A1:O62"/>
  <sheetViews>
    <sheetView showGridLines="0" topLeftCell="A10" workbookViewId="0">
      <selection activeCell="F60" sqref="F60"/>
    </sheetView>
  </sheetViews>
  <sheetFormatPr defaultRowHeight="15" x14ac:dyDescent="0.25"/>
  <cols>
    <col min="1" max="1" width="20.7109375" style="4" customWidth="1"/>
    <col min="2" max="2" width="13.28515625" style="4" customWidth="1"/>
    <col min="3" max="3" width="9.5703125" style="4" customWidth="1"/>
    <col min="4" max="4" width="3.85546875" style="4" customWidth="1"/>
    <col min="5" max="5" width="13.28515625" style="4" customWidth="1"/>
    <col min="6" max="7" width="13.42578125" style="4" customWidth="1"/>
    <col min="8" max="8" width="13.28515625" style="4" customWidth="1"/>
    <col min="9" max="9" width="13.42578125" style="4" customWidth="1"/>
    <col min="10" max="10" width="3.140625" style="4" customWidth="1"/>
    <col min="11" max="11" width="10.28515625" style="4" customWidth="1"/>
    <col min="12" max="12" width="2.140625" style="4" customWidth="1"/>
    <col min="13" max="13" width="11.140625" style="4" customWidth="1"/>
    <col min="14" max="14" width="13.42578125" style="4" customWidth="1"/>
    <col min="15" max="15" width="0.42578125" style="4" customWidth="1"/>
    <col min="16" max="16384" width="9.140625" style="4"/>
  </cols>
  <sheetData>
    <row r="1" spans="1:15" ht="34.5" customHeight="1" x14ac:dyDescent="0.25"/>
    <row r="2" spans="1:15" ht="23.25" customHeight="1" x14ac:dyDescent="0.25">
      <c r="A2" s="553" t="s">
        <v>661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5" ht="15.75" customHeight="1" x14ac:dyDescent="0.25">
      <c r="A3" s="554" t="s">
        <v>660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5" ht="0.75" customHeight="1" x14ac:dyDescent="0.25"/>
    <row r="5" spans="1:15" ht="9.75" customHeight="1" x14ac:dyDescent="0.25">
      <c r="A5" s="554" t="s">
        <v>659</v>
      </c>
      <c r="B5" s="554"/>
      <c r="C5" s="554"/>
    </row>
    <row r="6" spans="1:15" ht="6.75" customHeight="1" x14ac:dyDescent="0.25">
      <c r="A6" s="554"/>
      <c r="B6" s="554"/>
      <c r="C6" s="554"/>
    </row>
    <row r="7" spans="1:15" ht="0.75" customHeight="1" x14ac:dyDescent="0.25"/>
    <row r="8" spans="1:15" ht="6" customHeight="1" x14ac:dyDescent="0.25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</row>
    <row r="9" spans="1:15" ht="14.25" customHeight="1" x14ac:dyDescent="0.25">
      <c r="K9" s="556" t="s">
        <v>679</v>
      </c>
      <c r="L9" s="556"/>
      <c r="M9" s="556"/>
      <c r="N9" s="556"/>
      <c r="O9" s="556"/>
    </row>
    <row r="10" spans="1:15" ht="19.5" customHeight="1" x14ac:dyDescent="0.25">
      <c r="A10" s="557" t="s">
        <v>658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</row>
    <row r="11" spans="1:15" ht="15" customHeight="1" x14ac:dyDescent="0.25">
      <c r="A11" s="561" t="s">
        <v>657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</row>
    <row r="12" spans="1:15" ht="1.5" customHeight="1" x14ac:dyDescent="0.25"/>
    <row r="13" spans="1:15" ht="15" customHeight="1" x14ac:dyDescent="0.25">
      <c r="A13" s="562"/>
      <c r="B13" s="562"/>
      <c r="C13" s="563" t="s">
        <v>656</v>
      </c>
      <c r="D13" s="563"/>
      <c r="E13" s="563"/>
      <c r="F13" s="563" t="s">
        <v>655</v>
      </c>
      <c r="G13" s="563"/>
      <c r="H13" s="563" t="s">
        <v>654</v>
      </c>
      <c r="I13" s="563"/>
      <c r="J13" s="563" t="s">
        <v>653</v>
      </c>
      <c r="K13" s="563"/>
      <c r="L13" s="563"/>
      <c r="M13" s="563"/>
      <c r="N13" s="563"/>
      <c r="O13" s="563"/>
    </row>
    <row r="14" spans="1:15" ht="14.25" customHeight="1" x14ac:dyDescent="0.25">
      <c r="A14" s="347" t="s">
        <v>652</v>
      </c>
      <c r="B14" s="348" t="s">
        <v>651</v>
      </c>
      <c r="C14" s="558" t="s">
        <v>650</v>
      </c>
      <c r="D14" s="558"/>
      <c r="E14" s="349" t="s">
        <v>362</v>
      </c>
      <c r="F14" s="349" t="s">
        <v>650</v>
      </c>
      <c r="G14" s="349" t="s">
        <v>362</v>
      </c>
      <c r="H14" s="349" t="s">
        <v>650</v>
      </c>
      <c r="I14" s="349" t="s">
        <v>362</v>
      </c>
      <c r="J14" s="558" t="s">
        <v>649</v>
      </c>
      <c r="K14" s="558"/>
      <c r="L14" s="558" t="s">
        <v>648</v>
      </c>
      <c r="M14" s="558"/>
      <c r="N14" s="558" t="s">
        <v>647</v>
      </c>
      <c r="O14" s="558"/>
    </row>
    <row r="15" spans="1:15" ht="14.25" customHeight="1" x14ac:dyDescent="0.25">
      <c r="A15" s="559" t="s">
        <v>646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</row>
    <row r="16" spans="1:15" ht="13.5" customHeight="1" x14ac:dyDescent="0.25">
      <c r="A16" s="350"/>
      <c r="B16" s="351">
        <v>65151.199999999997</v>
      </c>
      <c r="C16" s="560">
        <v>24321.040000000001</v>
      </c>
      <c r="D16" s="560"/>
      <c r="E16" s="351">
        <v>24321.040000000001</v>
      </c>
      <c r="F16" s="351">
        <v>24321.040000000001</v>
      </c>
      <c r="G16" s="351">
        <v>24321.040000000001</v>
      </c>
      <c r="H16" s="351">
        <v>24321.040000000001</v>
      </c>
      <c r="I16" s="351">
        <v>24321.040000000001</v>
      </c>
      <c r="J16" s="560">
        <v>40830.160000000003</v>
      </c>
      <c r="K16" s="560"/>
      <c r="L16" s="560">
        <v>0</v>
      </c>
      <c r="M16" s="560"/>
      <c r="N16" s="351">
        <v>0</v>
      </c>
    </row>
    <row r="17" spans="1:14" ht="14.25" customHeight="1" x14ac:dyDescent="0.25">
      <c r="A17" s="564" t="s">
        <v>645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</row>
    <row r="18" spans="1:14" ht="14.25" customHeight="1" x14ac:dyDescent="0.25">
      <c r="A18" s="352"/>
      <c r="B18" s="353">
        <v>13152.2</v>
      </c>
      <c r="C18" s="565">
        <v>5407.21</v>
      </c>
      <c r="D18" s="565"/>
      <c r="E18" s="353">
        <v>5407.21</v>
      </c>
      <c r="F18" s="353">
        <v>5407.21</v>
      </c>
      <c r="G18" s="353">
        <v>5407.21</v>
      </c>
      <c r="H18" s="353">
        <v>5407.21</v>
      </c>
      <c r="I18" s="353">
        <v>5407.21</v>
      </c>
      <c r="J18" s="565">
        <v>7744.99</v>
      </c>
      <c r="K18" s="565"/>
      <c r="L18" s="565">
        <v>0</v>
      </c>
      <c r="M18" s="565"/>
      <c r="N18" s="353">
        <v>0</v>
      </c>
    </row>
    <row r="19" spans="1:14" ht="14.25" customHeight="1" x14ac:dyDescent="0.25">
      <c r="A19" s="566" t="s">
        <v>644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</row>
    <row r="20" spans="1:14" ht="14.25" customHeight="1" x14ac:dyDescent="0.25">
      <c r="A20" s="350"/>
      <c r="B20" s="351">
        <v>13152.2</v>
      </c>
      <c r="C20" s="560">
        <v>5407.21</v>
      </c>
      <c r="D20" s="560"/>
      <c r="E20" s="351">
        <v>5407.21</v>
      </c>
      <c r="F20" s="351">
        <v>5407.21</v>
      </c>
      <c r="G20" s="351">
        <v>5407.21</v>
      </c>
      <c r="H20" s="351">
        <v>5407.21</v>
      </c>
      <c r="I20" s="351">
        <v>5407.21</v>
      </c>
      <c r="J20" s="560">
        <v>7744.99</v>
      </c>
      <c r="K20" s="560"/>
      <c r="L20" s="560">
        <v>0</v>
      </c>
      <c r="M20" s="560"/>
      <c r="N20" s="351">
        <v>0</v>
      </c>
    </row>
    <row r="21" spans="1:14" ht="14.25" customHeight="1" x14ac:dyDescent="0.25">
      <c r="A21" s="564" t="s">
        <v>643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</row>
    <row r="22" spans="1:14" ht="14.25" customHeight="1" x14ac:dyDescent="0.25">
      <c r="A22" s="352"/>
      <c r="B22" s="353">
        <v>19299</v>
      </c>
      <c r="C22" s="565">
        <v>18913.830000000002</v>
      </c>
      <c r="D22" s="565"/>
      <c r="E22" s="353">
        <v>18913.830000000002</v>
      </c>
      <c r="F22" s="353">
        <v>18913.830000000002</v>
      </c>
      <c r="G22" s="353">
        <v>18913.830000000002</v>
      </c>
      <c r="H22" s="353">
        <v>18913.830000000002</v>
      </c>
      <c r="I22" s="353">
        <v>18913.830000000002</v>
      </c>
      <c r="J22" s="565">
        <v>385.17</v>
      </c>
      <c r="K22" s="565"/>
      <c r="L22" s="565">
        <v>0</v>
      </c>
      <c r="M22" s="565"/>
      <c r="N22" s="353">
        <v>0</v>
      </c>
    </row>
    <row r="23" spans="1:14" ht="14.25" customHeight="1" x14ac:dyDescent="0.25">
      <c r="A23" s="566" t="s">
        <v>642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</row>
    <row r="24" spans="1:14" ht="14.25" customHeight="1" x14ac:dyDescent="0.25">
      <c r="A24" s="350"/>
      <c r="B24" s="351">
        <v>19299</v>
      </c>
      <c r="C24" s="560">
        <v>18913.830000000002</v>
      </c>
      <c r="D24" s="560"/>
      <c r="E24" s="351">
        <v>18913.830000000002</v>
      </c>
      <c r="F24" s="351">
        <v>18913.830000000002</v>
      </c>
      <c r="G24" s="351">
        <v>18913.830000000002</v>
      </c>
      <c r="H24" s="351">
        <v>18913.830000000002</v>
      </c>
      <c r="I24" s="351">
        <v>18913.830000000002</v>
      </c>
      <c r="J24" s="560">
        <v>385.17</v>
      </c>
      <c r="K24" s="560"/>
      <c r="L24" s="560">
        <v>0</v>
      </c>
      <c r="M24" s="560"/>
      <c r="N24" s="351">
        <v>0</v>
      </c>
    </row>
    <row r="25" spans="1:14" ht="14.25" customHeight="1" x14ac:dyDescent="0.25">
      <c r="A25" s="564" t="s">
        <v>641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</row>
    <row r="26" spans="1:14" ht="13.5" customHeight="1" x14ac:dyDescent="0.25">
      <c r="A26" s="352"/>
      <c r="B26" s="353">
        <v>32700</v>
      </c>
      <c r="C26" s="565">
        <v>0</v>
      </c>
      <c r="D26" s="565"/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565">
        <v>32700</v>
      </c>
      <c r="K26" s="565"/>
      <c r="L26" s="565">
        <v>0</v>
      </c>
      <c r="M26" s="565"/>
      <c r="N26" s="353">
        <v>0</v>
      </c>
    </row>
    <row r="27" spans="1:14" ht="14.25" customHeight="1" x14ac:dyDescent="0.25">
      <c r="A27" s="566" t="s">
        <v>529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</row>
    <row r="28" spans="1:14" ht="14.25" customHeight="1" x14ac:dyDescent="0.25">
      <c r="A28" s="350"/>
      <c r="B28" s="351">
        <v>32700</v>
      </c>
      <c r="C28" s="560">
        <v>0</v>
      </c>
      <c r="D28" s="560"/>
      <c r="E28" s="351">
        <v>0</v>
      </c>
      <c r="F28" s="351">
        <v>0</v>
      </c>
      <c r="G28" s="351">
        <v>0</v>
      </c>
      <c r="H28" s="351">
        <v>0</v>
      </c>
      <c r="I28" s="351">
        <v>0</v>
      </c>
      <c r="J28" s="560">
        <v>32700</v>
      </c>
      <c r="K28" s="560"/>
      <c r="L28" s="560">
        <v>0</v>
      </c>
      <c r="M28" s="560"/>
      <c r="N28" s="351">
        <v>0</v>
      </c>
    </row>
    <row r="29" spans="1:14" ht="14.25" customHeight="1" x14ac:dyDescent="0.25">
      <c r="A29" s="564" t="s">
        <v>640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</row>
    <row r="30" spans="1:14" ht="14.25" customHeight="1" x14ac:dyDescent="0.25">
      <c r="A30" s="352"/>
      <c r="B30" s="353">
        <v>1696708.43</v>
      </c>
      <c r="C30" s="565">
        <v>1431103.31</v>
      </c>
      <c r="D30" s="565"/>
      <c r="E30" s="353">
        <v>1431103.31</v>
      </c>
      <c r="F30" s="353">
        <v>1029019.08</v>
      </c>
      <c r="G30" s="353">
        <v>1029019.08</v>
      </c>
      <c r="H30" s="353">
        <v>946984.87</v>
      </c>
      <c r="I30" s="353">
        <v>946984.87</v>
      </c>
      <c r="J30" s="565">
        <v>265605.12</v>
      </c>
      <c r="K30" s="565"/>
      <c r="L30" s="565">
        <v>402084.23</v>
      </c>
      <c r="M30" s="565"/>
      <c r="N30" s="353">
        <v>82034.210000000006</v>
      </c>
    </row>
    <row r="31" spans="1:14" ht="14.25" customHeight="1" x14ac:dyDescent="0.25">
      <c r="A31" s="559" t="s">
        <v>639</v>
      </c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</row>
    <row r="32" spans="1:14" ht="14.25" customHeight="1" x14ac:dyDescent="0.25">
      <c r="A32" s="350"/>
      <c r="B32" s="351">
        <v>894266.73</v>
      </c>
      <c r="C32" s="560">
        <v>716986.46</v>
      </c>
      <c r="D32" s="560"/>
      <c r="E32" s="351">
        <v>716986.46</v>
      </c>
      <c r="F32" s="351">
        <v>503369.88</v>
      </c>
      <c r="G32" s="351">
        <v>503369.88</v>
      </c>
      <c r="H32" s="351">
        <v>457647.41</v>
      </c>
      <c r="I32" s="351">
        <v>457647.41</v>
      </c>
      <c r="J32" s="560">
        <v>177280.27</v>
      </c>
      <c r="K32" s="560"/>
      <c r="L32" s="560">
        <v>213616.58</v>
      </c>
      <c r="M32" s="560"/>
      <c r="N32" s="351">
        <v>45722.47</v>
      </c>
    </row>
    <row r="33" spans="1:14" ht="14.25" customHeight="1" x14ac:dyDescent="0.25">
      <c r="A33" s="567" t="s">
        <v>638</v>
      </c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</row>
    <row r="34" spans="1:14" ht="14.25" customHeight="1" x14ac:dyDescent="0.25">
      <c r="A34" s="352"/>
      <c r="B34" s="353">
        <v>763915.54</v>
      </c>
      <c r="C34" s="565">
        <v>596493.21</v>
      </c>
      <c r="D34" s="565"/>
      <c r="E34" s="353">
        <v>596493.21</v>
      </c>
      <c r="F34" s="353">
        <v>420657.99</v>
      </c>
      <c r="G34" s="353">
        <v>420657.99</v>
      </c>
      <c r="H34" s="353">
        <v>382971.76</v>
      </c>
      <c r="I34" s="353">
        <v>382971.76</v>
      </c>
      <c r="J34" s="565">
        <v>167422.32999999999</v>
      </c>
      <c r="K34" s="565"/>
      <c r="L34" s="565">
        <v>175835.22</v>
      </c>
      <c r="M34" s="565"/>
      <c r="N34" s="353">
        <v>37686.230000000003</v>
      </c>
    </row>
    <row r="35" spans="1:14" ht="14.25" customHeight="1" x14ac:dyDescent="0.25">
      <c r="A35" s="566" t="s">
        <v>517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</row>
    <row r="36" spans="1:14" ht="13.5" customHeight="1" x14ac:dyDescent="0.25">
      <c r="A36" s="350"/>
      <c r="B36" s="351">
        <v>110829</v>
      </c>
      <c r="C36" s="560">
        <v>106971.55</v>
      </c>
      <c r="D36" s="560"/>
      <c r="E36" s="351">
        <v>106971.55</v>
      </c>
      <c r="F36" s="351">
        <v>72526.399999999994</v>
      </c>
      <c r="G36" s="351">
        <v>72526.399999999994</v>
      </c>
      <c r="H36" s="351">
        <v>64490.16</v>
      </c>
      <c r="I36" s="351">
        <v>64490.16</v>
      </c>
      <c r="J36" s="560">
        <v>3857.45</v>
      </c>
      <c r="K36" s="560"/>
      <c r="L36" s="560">
        <v>34445.15</v>
      </c>
      <c r="M36" s="560"/>
      <c r="N36" s="351">
        <v>8036.24</v>
      </c>
    </row>
    <row r="37" spans="1:14" ht="14.25" customHeight="1" x14ac:dyDescent="0.25">
      <c r="A37" s="567" t="s">
        <v>637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</row>
    <row r="38" spans="1:14" ht="14.25" customHeight="1" x14ac:dyDescent="0.25">
      <c r="A38" s="352"/>
      <c r="B38" s="353">
        <v>19522.189999999999</v>
      </c>
      <c r="C38" s="565">
        <v>13521.7</v>
      </c>
      <c r="D38" s="565"/>
      <c r="E38" s="353">
        <v>13521.7</v>
      </c>
      <c r="F38" s="353">
        <v>10185.49</v>
      </c>
      <c r="G38" s="353">
        <v>10185.49</v>
      </c>
      <c r="H38" s="353">
        <v>10185.49</v>
      </c>
      <c r="I38" s="353">
        <v>10185.49</v>
      </c>
      <c r="J38" s="565">
        <v>6000.49</v>
      </c>
      <c r="K38" s="565"/>
      <c r="L38" s="565">
        <v>3336.21</v>
      </c>
      <c r="M38" s="565"/>
      <c r="N38" s="353">
        <v>0</v>
      </c>
    </row>
    <row r="39" spans="1:14" ht="14.25" customHeight="1" x14ac:dyDescent="0.25">
      <c r="A39" s="559" t="s">
        <v>636</v>
      </c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</row>
    <row r="40" spans="1:14" ht="14.25" customHeight="1" x14ac:dyDescent="0.25">
      <c r="A40" s="350"/>
      <c r="B40" s="351">
        <v>214509.02</v>
      </c>
      <c r="C40" s="560">
        <v>172793.98</v>
      </c>
      <c r="D40" s="560"/>
      <c r="E40" s="351">
        <v>172793.98</v>
      </c>
      <c r="F40" s="351">
        <v>136272.32999999999</v>
      </c>
      <c r="G40" s="351">
        <v>136272.32999999999</v>
      </c>
      <c r="H40" s="351">
        <v>136272.32999999999</v>
      </c>
      <c r="I40" s="351">
        <v>136272.32999999999</v>
      </c>
      <c r="J40" s="560">
        <v>41715.040000000001</v>
      </c>
      <c r="K40" s="560"/>
      <c r="L40" s="560">
        <v>36521.65</v>
      </c>
      <c r="M40" s="560"/>
      <c r="N40" s="351">
        <v>0</v>
      </c>
    </row>
    <row r="41" spans="1:14" ht="14.25" customHeight="1" x14ac:dyDescent="0.25">
      <c r="A41" s="567" t="s">
        <v>493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</row>
    <row r="42" spans="1:14" ht="14.25" customHeight="1" x14ac:dyDescent="0.25">
      <c r="A42" s="352"/>
      <c r="B42" s="353">
        <v>7720</v>
      </c>
      <c r="C42" s="565">
        <v>0</v>
      </c>
      <c r="D42" s="565"/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565">
        <v>7720</v>
      </c>
      <c r="K42" s="565"/>
      <c r="L42" s="565">
        <v>0</v>
      </c>
      <c r="M42" s="565"/>
      <c r="N42" s="353">
        <v>0</v>
      </c>
    </row>
    <row r="43" spans="1:14" ht="14.25" customHeight="1" x14ac:dyDescent="0.25">
      <c r="A43" s="566" t="s">
        <v>374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</row>
    <row r="44" spans="1:14" ht="14.25" customHeight="1" x14ac:dyDescent="0.25">
      <c r="A44" s="350"/>
      <c r="B44" s="351">
        <v>18619.740000000002</v>
      </c>
      <c r="C44" s="560">
        <v>18619.740000000002</v>
      </c>
      <c r="D44" s="560"/>
      <c r="E44" s="351">
        <v>18619.740000000002</v>
      </c>
      <c r="F44" s="351">
        <v>11830.4</v>
      </c>
      <c r="G44" s="351">
        <v>11830.4</v>
      </c>
      <c r="H44" s="351">
        <v>11830.4</v>
      </c>
      <c r="I44" s="351">
        <v>11830.4</v>
      </c>
      <c r="J44" s="560">
        <v>0</v>
      </c>
      <c r="K44" s="560"/>
      <c r="L44" s="560">
        <v>6789.34</v>
      </c>
      <c r="M44" s="560"/>
      <c r="N44" s="351">
        <v>0</v>
      </c>
    </row>
    <row r="45" spans="1:14" ht="14.25" customHeight="1" x14ac:dyDescent="0.25">
      <c r="A45" s="567" t="s">
        <v>519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</row>
    <row r="46" spans="1:14" ht="13.5" customHeight="1" x14ac:dyDescent="0.25">
      <c r="A46" s="352"/>
      <c r="B46" s="353">
        <v>20000</v>
      </c>
      <c r="C46" s="565">
        <v>0</v>
      </c>
      <c r="D46" s="565"/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565">
        <v>20000</v>
      </c>
      <c r="K46" s="565"/>
      <c r="L46" s="565">
        <v>0</v>
      </c>
      <c r="M46" s="565"/>
      <c r="N46" s="353">
        <v>0</v>
      </c>
    </row>
    <row r="47" spans="1:14" ht="14.25" customHeight="1" x14ac:dyDescent="0.25">
      <c r="A47" s="566" t="s">
        <v>635</v>
      </c>
      <c r="B47" s="566"/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</row>
    <row r="48" spans="1:14" ht="14.25" customHeight="1" x14ac:dyDescent="0.25">
      <c r="A48" s="350"/>
      <c r="B48" s="351">
        <v>78646.14</v>
      </c>
      <c r="C48" s="560">
        <v>64651.1</v>
      </c>
      <c r="D48" s="560"/>
      <c r="E48" s="351">
        <v>64651.1</v>
      </c>
      <c r="F48" s="351">
        <v>64651.1</v>
      </c>
      <c r="G48" s="351">
        <v>64651.1</v>
      </c>
      <c r="H48" s="351">
        <v>64651.1</v>
      </c>
      <c r="I48" s="351">
        <v>64651.1</v>
      </c>
      <c r="J48" s="560">
        <v>13995.04</v>
      </c>
      <c r="K48" s="560"/>
      <c r="L48" s="560">
        <v>0</v>
      </c>
      <c r="M48" s="560"/>
      <c r="N48" s="351">
        <v>0</v>
      </c>
    </row>
    <row r="49" spans="1:15" ht="14.25" customHeight="1" x14ac:dyDescent="0.25">
      <c r="A49" s="567" t="s">
        <v>634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</row>
    <row r="50" spans="1:15" ht="14.25" customHeight="1" x14ac:dyDescent="0.25">
      <c r="A50" s="352"/>
      <c r="B50" s="353">
        <v>9280.73</v>
      </c>
      <c r="C50" s="565">
        <v>9280.73</v>
      </c>
      <c r="D50" s="565"/>
      <c r="E50" s="353">
        <v>9280.73</v>
      </c>
      <c r="F50" s="353">
        <v>6265.24</v>
      </c>
      <c r="G50" s="353">
        <v>6265.24</v>
      </c>
      <c r="H50" s="353">
        <v>6265.24</v>
      </c>
      <c r="I50" s="353">
        <v>6265.24</v>
      </c>
      <c r="J50" s="565">
        <v>0</v>
      </c>
      <c r="K50" s="565"/>
      <c r="L50" s="565">
        <v>3015.49</v>
      </c>
      <c r="M50" s="565"/>
      <c r="N50" s="353">
        <v>0</v>
      </c>
    </row>
    <row r="51" spans="1:15" ht="14.25" customHeight="1" x14ac:dyDescent="0.25">
      <c r="A51" s="566" t="s">
        <v>633</v>
      </c>
      <c r="B51" s="566"/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</row>
    <row r="52" spans="1:15" ht="14.25" customHeight="1" x14ac:dyDescent="0.25">
      <c r="A52" s="350"/>
      <c r="B52" s="351">
        <v>80242.41</v>
      </c>
      <c r="C52" s="560">
        <v>80242.41</v>
      </c>
      <c r="D52" s="560"/>
      <c r="E52" s="351">
        <v>80242.41</v>
      </c>
      <c r="F52" s="351">
        <v>53525.59</v>
      </c>
      <c r="G52" s="351">
        <v>53525.59</v>
      </c>
      <c r="H52" s="351">
        <v>53525.59</v>
      </c>
      <c r="I52" s="351">
        <v>53525.59</v>
      </c>
      <c r="J52" s="560">
        <v>0</v>
      </c>
      <c r="K52" s="560"/>
      <c r="L52" s="560">
        <v>26716.82</v>
      </c>
      <c r="M52" s="560"/>
      <c r="N52" s="351">
        <v>0</v>
      </c>
    </row>
    <row r="53" spans="1:15" ht="14.25" customHeight="1" x14ac:dyDescent="0.25">
      <c r="A53" s="564" t="s">
        <v>632</v>
      </c>
      <c r="B53" s="564"/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</row>
    <row r="54" spans="1:15" ht="14.25" customHeight="1" x14ac:dyDescent="0.25">
      <c r="A54" s="352"/>
      <c r="B54" s="353">
        <v>587932.68000000005</v>
      </c>
      <c r="C54" s="565">
        <v>541322.87</v>
      </c>
      <c r="D54" s="565"/>
      <c r="E54" s="353">
        <v>541322.87</v>
      </c>
      <c r="F54" s="353">
        <v>389376.87</v>
      </c>
      <c r="G54" s="353">
        <v>389376.87</v>
      </c>
      <c r="H54" s="353">
        <v>353065.13</v>
      </c>
      <c r="I54" s="353">
        <v>353065.13</v>
      </c>
      <c r="J54" s="565">
        <v>46609.81</v>
      </c>
      <c r="K54" s="565"/>
      <c r="L54" s="565">
        <v>151946</v>
      </c>
      <c r="M54" s="565"/>
      <c r="N54" s="353">
        <v>36311.74</v>
      </c>
    </row>
    <row r="55" spans="1:15" ht="14.25" customHeight="1" x14ac:dyDescent="0.25">
      <c r="A55" s="566" t="s">
        <v>631</v>
      </c>
      <c r="B55" s="566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</row>
    <row r="56" spans="1:15" ht="13.5" customHeight="1" x14ac:dyDescent="0.25">
      <c r="A56" s="350"/>
      <c r="B56" s="351">
        <v>220977.66</v>
      </c>
      <c r="C56" s="560">
        <v>187595.75</v>
      </c>
      <c r="D56" s="560"/>
      <c r="E56" s="351">
        <v>187595.75</v>
      </c>
      <c r="F56" s="351">
        <v>135070.19</v>
      </c>
      <c r="G56" s="351">
        <v>135070.19</v>
      </c>
      <c r="H56" s="351">
        <v>120700.14</v>
      </c>
      <c r="I56" s="351">
        <v>120700.14</v>
      </c>
      <c r="J56" s="560">
        <v>33381.910000000003</v>
      </c>
      <c r="K56" s="560"/>
      <c r="L56" s="560">
        <v>52525.56</v>
      </c>
      <c r="M56" s="560"/>
      <c r="N56" s="351">
        <v>14370.05</v>
      </c>
    </row>
    <row r="57" spans="1:15" ht="14.25" customHeight="1" x14ac:dyDescent="0.25">
      <c r="A57" s="567" t="s">
        <v>630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</row>
    <row r="58" spans="1:15" ht="14.25" customHeight="1" x14ac:dyDescent="0.25">
      <c r="A58" s="352"/>
      <c r="B58" s="353">
        <v>366955.02</v>
      </c>
      <c r="C58" s="565">
        <v>353727.12</v>
      </c>
      <c r="D58" s="565"/>
      <c r="E58" s="353">
        <v>353727.12</v>
      </c>
      <c r="F58" s="353">
        <v>254306.68</v>
      </c>
      <c r="G58" s="353">
        <v>254306.68</v>
      </c>
      <c r="H58" s="353">
        <v>232364.99</v>
      </c>
      <c r="I58" s="353">
        <v>232364.99</v>
      </c>
      <c r="J58" s="565">
        <v>13227.9</v>
      </c>
      <c r="K58" s="565"/>
      <c r="L58" s="565">
        <v>99420.44</v>
      </c>
      <c r="M58" s="565"/>
      <c r="N58" s="353">
        <v>21941.69</v>
      </c>
    </row>
    <row r="59" spans="1:15" ht="14.25" customHeight="1" x14ac:dyDescent="0.25">
      <c r="A59" s="559" t="s">
        <v>0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</row>
    <row r="60" spans="1:15" ht="14.25" customHeight="1" x14ac:dyDescent="0.25">
      <c r="A60" s="350"/>
      <c r="B60" s="351">
        <v>1761859.63</v>
      </c>
      <c r="C60" s="560">
        <v>1455424.35</v>
      </c>
      <c r="D60" s="560"/>
      <c r="E60" s="351">
        <v>1455424.35</v>
      </c>
      <c r="F60" s="351">
        <v>1053340.1200000001</v>
      </c>
      <c r="G60" s="351">
        <v>1053340.1200000001</v>
      </c>
      <c r="H60" s="351">
        <v>971305.91</v>
      </c>
      <c r="I60" s="351">
        <v>971305.91</v>
      </c>
      <c r="J60" s="560">
        <v>306435.28000000003</v>
      </c>
      <c r="K60" s="560"/>
      <c r="L60" s="560">
        <v>402084.23</v>
      </c>
      <c r="M60" s="560"/>
      <c r="N60" s="351">
        <v>82034.210000000006</v>
      </c>
    </row>
    <row r="61" spans="1:15" ht="14.25" customHeight="1" x14ac:dyDescent="0.25"/>
    <row r="62" spans="1:15" ht="12.75" customHeight="1" x14ac:dyDescent="0.25">
      <c r="A62" s="319" t="s">
        <v>680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568" t="s">
        <v>629</v>
      </c>
      <c r="N62" s="568"/>
      <c r="O62" s="568"/>
    </row>
  </sheetData>
  <mergeCells count="109">
    <mergeCell ref="M62:O62"/>
    <mergeCell ref="A57:N57"/>
    <mergeCell ref="C58:D58"/>
    <mergeCell ref="J58:K58"/>
    <mergeCell ref="L58:M58"/>
    <mergeCell ref="A59:N59"/>
    <mergeCell ref="C60:D60"/>
    <mergeCell ref="J60:K60"/>
    <mergeCell ref="L60:M60"/>
    <mergeCell ref="A53:N53"/>
    <mergeCell ref="C54:D54"/>
    <mergeCell ref="J54:K54"/>
    <mergeCell ref="L54:M54"/>
    <mergeCell ref="A55:N55"/>
    <mergeCell ref="C56:D56"/>
    <mergeCell ref="J56:K56"/>
    <mergeCell ref="L56:M56"/>
    <mergeCell ref="A49:N49"/>
    <mergeCell ref="C50:D50"/>
    <mergeCell ref="J50:K50"/>
    <mergeCell ref="L50:M50"/>
    <mergeCell ref="A51:N51"/>
    <mergeCell ref="C52:D52"/>
    <mergeCell ref="J52:K52"/>
    <mergeCell ref="L52:M52"/>
    <mergeCell ref="A45:N45"/>
    <mergeCell ref="C46:D46"/>
    <mergeCell ref="J46:K46"/>
    <mergeCell ref="L46:M46"/>
    <mergeCell ref="A47:N47"/>
    <mergeCell ref="C48:D48"/>
    <mergeCell ref="J48:K48"/>
    <mergeCell ref="L48:M48"/>
    <mergeCell ref="A41:N41"/>
    <mergeCell ref="C42:D42"/>
    <mergeCell ref="J42:K42"/>
    <mergeCell ref="L42:M42"/>
    <mergeCell ref="A43:N43"/>
    <mergeCell ref="C44:D44"/>
    <mergeCell ref="J44:K44"/>
    <mergeCell ref="L44:M44"/>
    <mergeCell ref="A37:N37"/>
    <mergeCell ref="C38:D38"/>
    <mergeCell ref="J38:K38"/>
    <mergeCell ref="L38:M38"/>
    <mergeCell ref="A39:N39"/>
    <mergeCell ref="C40:D40"/>
    <mergeCell ref="J40:K40"/>
    <mergeCell ref="L40:M40"/>
    <mergeCell ref="A33:N33"/>
    <mergeCell ref="C34:D34"/>
    <mergeCell ref="J34:K34"/>
    <mergeCell ref="L34:M34"/>
    <mergeCell ref="A35:N35"/>
    <mergeCell ref="C36:D36"/>
    <mergeCell ref="J36:K36"/>
    <mergeCell ref="L36:M36"/>
    <mergeCell ref="A29:N29"/>
    <mergeCell ref="C30:D30"/>
    <mergeCell ref="J30:K30"/>
    <mergeCell ref="L30:M30"/>
    <mergeCell ref="A31:N31"/>
    <mergeCell ref="C32:D32"/>
    <mergeCell ref="J32:K32"/>
    <mergeCell ref="L32:M32"/>
    <mergeCell ref="A25:N25"/>
    <mergeCell ref="C26:D26"/>
    <mergeCell ref="J26:K26"/>
    <mergeCell ref="L26:M26"/>
    <mergeCell ref="A27:N27"/>
    <mergeCell ref="C28:D28"/>
    <mergeCell ref="J28:K28"/>
    <mergeCell ref="L28:M28"/>
    <mergeCell ref="A21:N21"/>
    <mergeCell ref="C22:D22"/>
    <mergeCell ref="J22:K22"/>
    <mergeCell ref="L22:M22"/>
    <mergeCell ref="A23:N23"/>
    <mergeCell ref="C24:D24"/>
    <mergeCell ref="J24:K24"/>
    <mergeCell ref="L24:M24"/>
    <mergeCell ref="A17:N17"/>
    <mergeCell ref="C18:D18"/>
    <mergeCell ref="J18:K18"/>
    <mergeCell ref="L18:M18"/>
    <mergeCell ref="A19:N19"/>
    <mergeCell ref="C20:D20"/>
    <mergeCell ref="J20:K20"/>
    <mergeCell ref="L20:M20"/>
    <mergeCell ref="A15:N15"/>
    <mergeCell ref="C16:D16"/>
    <mergeCell ref="J16:K16"/>
    <mergeCell ref="L16:M16"/>
    <mergeCell ref="A11:O11"/>
    <mergeCell ref="A13:B13"/>
    <mergeCell ref="C13:E13"/>
    <mergeCell ref="F13:G13"/>
    <mergeCell ref="H13:I13"/>
    <mergeCell ref="J13:O13"/>
    <mergeCell ref="A2:L2"/>
    <mergeCell ref="A3:L3"/>
    <mergeCell ref="A5:C6"/>
    <mergeCell ref="A8:O8"/>
    <mergeCell ref="K9:O9"/>
    <mergeCell ref="A10:O10"/>
    <mergeCell ref="C14:D14"/>
    <mergeCell ref="J14:K14"/>
    <mergeCell ref="L14:M14"/>
    <mergeCell ref="N14:O14"/>
  </mergeCells>
  <pageMargins left="0.19666667282581299" right="0.19666667282581299" top="0.20000000298023199" bottom="0.20000000298023199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Orientações Iniciais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Anexo 4. </vt:lpstr>
      <vt:lpstr>DEMONSTRATIVO</vt:lpstr>
      <vt:lpstr>Validação de dados</vt:lpstr>
      <vt:lpstr>Anexo 4. Quadro Descritivo</vt:lpstr>
      <vt:lpstr>Diretrizes - Resumo</vt:lpstr>
      <vt:lpstr>Matriz de Obj. Estrat.</vt:lpstr>
      <vt:lpstr>'Anexo 1. Fontes e Aplicações'!Area_de_impressao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PLANEJAMENTO</cp:lastModifiedBy>
  <cp:lastPrinted>2022-06-29T15:17:46Z</cp:lastPrinted>
  <dcterms:created xsi:type="dcterms:W3CDTF">2013-07-30T15:20:59Z</dcterms:created>
  <dcterms:modified xsi:type="dcterms:W3CDTF">2022-11-09T14:26:03Z</dcterms:modified>
</cp:coreProperties>
</file>