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ldx" ContentType="application/vnd.openxmlformats-officedocument.presentationml.slide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1\Desktop\"/>
    </mc:Choice>
  </mc:AlternateContent>
  <xr:revisionPtr revIDLastSave="0" documentId="8_{C27F8C3A-4516-465F-9F8C-03D946DB2B7A}" xr6:coauthVersionLast="47" xr6:coauthVersionMax="47" xr10:uidLastSave="{00000000-0000-0000-0000-000000000000}"/>
  <bookViews>
    <workbookView xWindow="-120" yWindow="-120" windowWidth="29040" windowHeight="15840" tabRatio="887" firstSheet="1" activeTab="1" xr2:uid="{00000000-000D-0000-FFFF-FFFF00000000}"/>
  </bookViews>
  <sheets>
    <sheet name="Resumo (2)" sheetId="37" state="hidden" r:id="rId1"/>
    <sheet name="Orientações Iniciais" sheetId="29" r:id="rId2"/>
    <sheet name="Mapa Estratégico e ODS " sheetId="35" r:id="rId3"/>
    <sheet name="Indicadores e Metas" sheetId="36" r:id="rId4"/>
    <sheet name="Quadro Geral" sheetId="15" r:id="rId5"/>
    <sheet name="Anexo 1. Fontes e Aplicações" sheetId="8" r:id="rId6"/>
    <sheet name="Anexo 2. Limites Estratégicos" sheetId="23" r:id="rId7"/>
    <sheet name="Anexo 3. Elemento de Despesas" sheetId="38" r:id="rId8"/>
    <sheet name="Anexo 4.Quadro Descritivo." sheetId="39" r:id="rId9"/>
    <sheet name="Resumo" sheetId="31" state="hidden" r:id="rId10"/>
    <sheet name="AÇÕES ESTRATÉGICAS - DESCRIÇÃO" sheetId="40" r:id="rId11"/>
  </sheets>
  <externalReferences>
    <externalReference r:id="rId12"/>
    <externalReference r:id="rId13"/>
    <externalReference r:id="rId14"/>
  </externalReferences>
  <definedNames>
    <definedName name="__xlfn_IFERROR">#N/A</definedName>
    <definedName name="_xlnm._FilterDatabase" localSheetId="3" hidden="1">'Indicadores e Metas'!$A$29:$S$101</definedName>
    <definedName name="A" localSheetId="7">#REF!</definedName>
    <definedName name="A" localSheetId="8">#REF!</definedName>
    <definedName name="A" localSheetId="3">#REF!</definedName>
    <definedName name="A" localSheetId="2">#REF!</definedName>
    <definedName name="A" localSheetId="1">#REF!</definedName>
    <definedName name="A" localSheetId="4">#REF!</definedName>
    <definedName name="A" localSheetId="0">#REF!</definedName>
    <definedName name="A">#REF!</definedName>
    <definedName name="Anexo" localSheetId="3">#REF!</definedName>
    <definedName name="Anexo">#REF!</definedName>
    <definedName name="Anexo_1.4.4" localSheetId="3">#REF!</definedName>
    <definedName name="Anexo_1.4.4">#REF!</definedName>
    <definedName name="ar">#N/A</definedName>
    <definedName name="_xlnm.Print_Area" localSheetId="5">'Anexo 1. Fontes e Aplicações'!$A$1:$H$37</definedName>
    <definedName name="_xlnm.Print_Area" localSheetId="3">'Indicadores e Metas'!$A$1:$F$106</definedName>
    <definedName name="_xlnm.Print_Area" localSheetId="2">'Mapa Estratégico e ODS '!$A$1:$I$25</definedName>
    <definedName name="_xlnm.Print_Area" localSheetId="4">'Quadro Geral'!$A$1:$R$27</definedName>
    <definedName name="asas" localSheetId="3">#REF!</definedName>
    <definedName name="asas">#REF!</definedName>
    <definedName name="ass" localSheetId="3">#REF!</definedName>
    <definedName name="ass">#REF!</definedName>
    <definedName name="_xlnm.Database" localSheetId="7">#REF!</definedName>
    <definedName name="_xlnm.Database" localSheetId="8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 localSheetId="4">#REF!</definedName>
    <definedName name="_xlnm.Database" localSheetId="0">#REF!</definedName>
    <definedName name="_xlnm.Database">#REF!</definedName>
    <definedName name="banco_de_dados_sym" localSheetId="7">#REF!</definedName>
    <definedName name="banco_de_dados_sym" localSheetId="3">#REF!</definedName>
    <definedName name="banco_de_dados_sym" localSheetId="2">#REF!</definedName>
    <definedName name="banco_de_dados_sym" localSheetId="0">#REF!</definedName>
    <definedName name="banco_de_dados_sym">#REF!</definedName>
    <definedName name="Copia" localSheetId="3">#REF!</definedName>
    <definedName name="Copia">#REF!</definedName>
    <definedName name="copia2" localSheetId="3">#REF!</definedName>
    <definedName name="copia2">#REF!</definedName>
    <definedName name="_xlnm.Criteria" localSheetId="7">#REF!</definedName>
    <definedName name="_xlnm.Criteria" localSheetId="3">#REF!</definedName>
    <definedName name="_xlnm.Criteria" localSheetId="2">#REF!</definedName>
    <definedName name="_xlnm.Criteria" localSheetId="0">#REF!</definedName>
    <definedName name="_xlnm.Criteria">#REF!</definedName>
    <definedName name="dados" localSheetId="7">#REF!</definedName>
    <definedName name="dados" localSheetId="3">#REF!</definedName>
    <definedName name="dados" localSheetId="2">#REF!</definedName>
    <definedName name="dados" localSheetId="0">#REF!</definedName>
    <definedName name="dados">#REF!</definedName>
    <definedName name="Database">#REF!</definedName>
    <definedName name="DEZEMBRO">#REF!</definedName>
    <definedName name="huala" localSheetId="7">#REF!</definedName>
    <definedName name="huala" localSheetId="3">#REF!</definedName>
    <definedName name="huala" localSheetId="2">#REF!</definedName>
    <definedName name="huala" localSheetId="0">#REF!</definedName>
    <definedName name="huala">#REF!</definedName>
    <definedName name="kk" localSheetId="7">#REF!</definedName>
    <definedName name="kk" localSheetId="3">#REF!</definedName>
    <definedName name="kk" localSheetId="2">#REF!</definedName>
    <definedName name="kk" localSheetId="0">#REF!</definedName>
    <definedName name="kk">#REF!</definedName>
    <definedName name="Percentual5">'[1]Estudos - Receita'!$XFB$1:$XFB$20</definedName>
    <definedName name="PJ2anos">'[1]Estudos - Quant. PJ'!$K:$O,'[1]Estudos - Quant. PJ'!$J$2</definedName>
    <definedName name="PREs">#N/A</definedName>
    <definedName name="Presid">#N/A</definedName>
    <definedName name="X">#REF!</definedName>
    <definedName name="XFE1048575" localSheetId="3">#REF!</definedName>
    <definedName name="XFE1048575">#REF!</definedName>
    <definedName name="XFe1048576" localSheetId="3">#REF!</definedName>
    <definedName name="XFe1048576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84" i="39" l="1"/>
  <c r="F67" i="39"/>
  <c r="F52" i="39"/>
  <c r="G22" i="39"/>
  <c r="H22" i="39" s="1"/>
  <c r="F141" i="39" l="1"/>
  <c r="F17" i="39"/>
  <c r="F24" i="39" l="1"/>
  <c r="F73" i="39"/>
  <c r="F68" i="39"/>
  <c r="F178" i="39"/>
  <c r="F187" i="39"/>
  <c r="F70" i="36"/>
  <c r="F16" i="36"/>
  <c r="E16" i="36"/>
  <c r="G158" i="39" l="1"/>
  <c r="G159" i="39"/>
  <c r="G160" i="39"/>
  <c r="F79" i="36"/>
  <c r="F77" i="36"/>
  <c r="G37" i="39"/>
  <c r="J37" i="39" s="1"/>
  <c r="G32" i="39"/>
  <c r="G33" i="39"/>
  <c r="J33" i="39" s="1"/>
  <c r="G89" i="39"/>
  <c r="H89" i="39" s="1"/>
  <c r="F107" i="39"/>
  <c r="F28" i="39"/>
  <c r="F139" i="39"/>
  <c r="F11" i="39"/>
  <c r="F55" i="39"/>
  <c r="K22" i="8"/>
  <c r="L22" i="8" s="1"/>
  <c r="L34" i="8"/>
  <c r="L33" i="8"/>
  <c r="L23" i="8"/>
  <c r="L19" i="8"/>
  <c r="L11" i="8"/>
  <c r="L12" i="8"/>
  <c r="L13" i="8"/>
  <c r="L14" i="8"/>
  <c r="L15" i="8"/>
  <c r="L10" i="8"/>
  <c r="L16" i="8"/>
  <c r="L17" i="8"/>
  <c r="L18" i="8"/>
  <c r="L20" i="8"/>
  <c r="L26" i="8"/>
  <c r="F14" i="8"/>
  <c r="F15" i="8"/>
  <c r="F17" i="8"/>
  <c r="F18" i="8"/>
  <c r="F16" i="8" s="1"/>
  <c r="F19" i="8"/>
  <c r="F26" i="8"/>
  <c r="D21" i="8"/>
  <c r="F21" i="8" s="1"/>
  <c r="G21" i="8" s="1"/>
  <c r="H21" i="8" s="1"/>
  <c r="E25" i="8"/>
  <c r="F25" i="8" s="1"/>
  <c r="F169" i="39"/>
  <c r="L9" i="15" s="1"/>
  <c r="G38" i="39"/>
  <c r="H38" i="39" s="1"/>
  <c r="G36" i="39"/>
  <c r="H36" i="39" s="1"/>
  <c r="G39" i="39"/>
  <c r="H39" i="39" s="1"/>
  <c r="F144" i="39"/>
  <c r="F143" i="39"/>
  <c r="G143" i="39" s="1"/>
  <c r="H143" i="39" s="1"/>
  <c r="F142" i="39"/>
  <c r="F70" i="39"/>
  <c r="L11" i="15"/>
  <c r="G40" i="39"/>
  <c r="J40" i="39" s="1"/>
  <c r="G41" i="39"/>
  <c r="E23" i="8"/>
  <c r="F23" i="8" s="1"/>
  <c r="F15" i="39"/>
  <c r="F23" i="39"/>
  <c r="G23" i="39" s="1"/>
  <c r="H23" i="39" s="1"/>
  <c r="F27" i="39"/>
  <c r="F14" i="39"/>
  <c r="G14" i="39" s="1"/>
  <c r="H14" i="39" s="1"/>
  <c r="F13" i="39"/>
  <c r="G85" i="39"/>
  <c r="G14" i="38" s="1"/>
  <c r="G86" i="39"/>
  <c r="H86" i="39" s="1"/>
  <c r="E69" i="39"/>
  <c r="F30" i="39"/>
  <c r="F54" i="39"/>
  <c r="E12" i="39"/>
  <c r="E42" i="39" s="1"/>
  <c r="D22" i="8"/>
  <c r="E20" i="8"/>
  <c r="F20" i="8" s="1"/>
  <c r="G20" i="8" s="1"/>
  <c r="H20" i="8" s="1"/>
  <c r="E22" i="8"/>
  <c r="F12" i="39"/>
  <c r="D69" i="39"/>
  <c r="F69" i="39" s="1"/>
  <c r="F74" i="39" s="1"/>
  <c r="L15" i="15" s="1"/>
  <c r="M15" i="15" s="1"/>
  <c r="D53" i="39"/>
  <c r="D57" i="39" s="1"/>
  <c r="C191" i="39"/>
  <c r="C182" i="39"/>
  <c r="C173" i="39"/>
  <c r="C164" i="39"/>
  <c r="C149" i="39"/>
  <c r="C134" i="39"/>
  <c r="C122" i="39"/>
  <c r="C112" i="39"/>
  <c r="C102" i="39"/>
  <c r="C93" i="39"/>
  <c r="C77" i="39"/>
  <c r="C60" i="39"/>
  <c r="C45" i="39"/>
  <c r="C6" i="39"/>
  <c r="G70" i="39"/>
  <c r="G13" i="38" s="1"/>
  <c r="G71" i="39"/>
  <c r="H71" i="39" s="1"/>
  <c r="G72" i="39"/>
  <c r="J13" i="38" s="1"/>
  <c r="G73" i="39"/>
  <c r="H73" i="39" s="1"/>
  <c r="I197" i="39"/>
  <c r="F197" i="39"/>
  <c r="L12" i="15" s="1"/>
  <c r="E197" i="39"/>
  <c r="D197" i="39"/>
  <c r="G196" i="39"/>
  <c r="M10" i="38" s="1"/>
  <c r="O10" i="38" s="1"/>
  <c r="Q10" i="38" s="1"/>
  <c r="I188" i="39"/>
  <c r="F188" i="39"/>
  <c r="E188" i="39"/>
  <c r="D188" i="39"/>
  <c r="G187" i="39"/>
  <c r="I179" i="39"/>
  <c r="F179" i="39"/>
  <c r="L10" i="15" s="1"/>
  <c r="M10" i="15" s="1"/>
  <c r="E179" i="39"/>
  <c r="D179" i="39"/>
  <c r="G178" i="39"/>
  <c r="L8" i="38" s="1"/>
  <c r="O8" i="38" s="1"/>
  <c r="Q8" i="38" s="1"/>
  <c r="I170" i="39"/>
  <c r="E170" i="39"/>
  <c r="D170" i="39"/>
  <c r="G169" i="39"/>
  <c r="H169" i="39" s="1"/>
  <c r="I161" i="39"/>
  <c r="F161" i="39"/>
  <c r="L22" i="15" s="1"/>
  <c r="M22" i="15" s="1"/>
  <c r="E161" i="39"/>
  <c r="D161" i="39"/>
  <c r="H160" i="39"/>
  <c r="H159" i="39"/>
  <c r="G157" i="39"/>
  <c r="H157" i="39" s="1"/>
  <c r="G156" i="39"/>
  <c r="H156" i="39" s="1"/>
  <c r="G155" i="39"/>
  <c r="G154" i="39"/>
  <c r="J154" i="39" s="1"/>
  <c r="I146" i="39"/>
  <c r="F146" i="39"/>
  <c r="L21" i="15" s="1"/>
  <c r="M21" i="15" s="1"/>
  <c r="E146" i="39"/>
  <c r="D146" i="39"/>
  <c r="G145" i="39"/>
  <c r="H145" i="39" s="1"/>
  <c r="G144" i="39"/>
  <c r="H144" i="39" s="1"/>
  <c r="G142" i="39"/>
  <c r="H142" i="39" s="1"/>
  <c r="G141" i="39"/>
  <c r="G140" i="39"/>
  <c r="G139" i="39"/>
  <c r="I131" i="39"/>
  <c r="F131" i="39"/>
  <c r="L20" i="15" s="1"/>
  <c r="M20" i="15" s="1"/>
  <c r="E131" i="39"/>
  <c r="D131" i="39"/>
  <c r="G130" i="39"/>
  <c r="H130" i="39" s="1"/>
  <c r="G129" i="39"/>
  <c r="G128" i="39"/>
  <c r="H128" i="39" s="1"/>
  <c r="G127" i="39"/>
  <c r="I119" i="39"/>
  <c r="F119" i="39"/>
  <c r="L19" i="15" s="1"/>
  <c r="M19" i="15" s="1"/>
  <c r="E119" i="39"/>
  <c r="D119" i="39"/>
  <c r="G118" i="39"/>
  <c r="J17" i="38" s="1"/>
  <c r="G117" i="39"/>
  <c r="I109" i="39"/>
  <c r="F109" i="39"/>
  <c r="L18" i="15" s="1"/>
  <c r="E109" i="39"/>
  <c r="D109" i="39"/>
  <c r="G108" i="39"/>
  <c r="H108" i="39" s="1"/>
  <c r="G107" i="39"/>
  <c r="K16" i="38" s="1"/>
  <c r="O16" i="38" s="1"/>
  <c r="Q16" i="38" s="1"/>
  <c r="I99" i="39"/>
  <c r="F99" i="39"/>
  <c r="L17" i="15"/>
  <c r="M17" i="15" s="1"/>
  <c r="P17" i="15" s="1"/>
  <c r="E99" i="39"/>
  <c r="D99" i="39"/>
  <c r="H99" i="39" s="1"/>
  <c r="G98" i="39"/>
  <c r="H98" i="39" s="1"/>
  <c r="I90" i="39"/>
  <c r="F90" i="39"/>
  <c r="L16" i="15" s="1"/>
  <c r="M16" i="15" s="1"/>
  <c r="E90" i="39"/>
  <c r="D90" i="39"/>
  <c r="G88" i="39"/>
  <c r="H88" i="39" s="1"/>
  <c r="G87" i="39"/>
  <c r="G84" i="39"/>
  <c r="H84" i="39" s="1"/>
  <c r="G83" i="39"/>
  <c r="H83" i="39" s="1"/>
  <c r="G82" i="39"/>
  <c r="H82" i="39" s="1"/>
  <c r="I74" i="39"/>
  <c r="E74" i="39"/>
  <c r="G68" i="39"/>
  <c r="G67" i="39"/>
  <c r="H67" i="39" s="1"/>
  <c r="G66" i="39"/>
  <c r="H66" i="39" s="1"/>
  <c r="G65" i="39"/>
  <c r="J65" i="39" s="1"/>
  <c r="I57" i="39"/>
  <c r="F57" i="39"/>
  <c r="L14" i="15" s="1"/>
  <c r="M14" i="15" s="1"/>
  <c r="E57" i="39"/>
  <c r="G56" i="39"/>
  <c r="H56" i="39" s="1"/>
  <c r="G55" i="39"/>
  <c r="H55" i="39" s="1"/>
  <c r="G54" i="39"/>
  <c r="H54" i="39" s="1"/>
  <c r="G53" i="39"/>
  <c r="H53" i="39" s="1"/>
  <c r="G52" i="39"/>
  <c r="H52" i="39" s="1"/>
  <c r="G51" i="39"/>
  <c r="H51" i="39" s="1"/>
  <c r="G50" i="39"/>
  <c r="J50" i="39" s="1"/>
  <c r="D31" i="39"/>
  <c r="D24" i="39"/>
  <c r="G12" i="39"/>
  <c r="H12" i="39" s="1"/>
  <c r="G13" i="39"/>
  <c r="H13" i="39" s="1"/>
  <c r="G15" i="39"/>
  <c r="H15" i="39" s="1"/>
  <c r="G16" i="39"/>
  <c r="H16" i="39" s="1"/>
  <c r="G17" i="39"/>
  <c r="H17" i="39" s="1"/>
  <c r="G18" i="39"/>
  <c r="H18" i="39" s="1"/>
  <c r="G19" i="39"/>
  <c r="H19" i="39" s="1"/>
  <c r="G20" i="39"/>
  <c r="G21" i="39"/>
  <c r="H21" i="39" s="1"/>
  <c r="G24" i="39"/>
  <c r="H11" i="38" s="1"/>
  <c r="H21" i="38" s="1"/>
  <c r="G25" i="39"/>
  <c r="H25" i="39" s="1"/>
  <c r="G26" i="39"/>
  <c r="H26" i="39" s="1"/>
  <c r="H68" i="39"/>
  <c r="H127" i="39"/>
  <c r="I18" i="38"/>
  <c r="H158" i="39"/>
  <c r="H72" i="39"/>
  <c r="H87" i="39"/>
  <c r="H141" i="39"/>
  <c r="H117" i="39"/>
  <c r="I17" i="38"/>
  <c r="H139" i="39"/>
  <c r="K19" i="38"/>
  <c r="H155" i="39"/>
  <c r="J20" i="38"/>
  <c r="J187" i="39"/>
  <c r="L9" i="38"/>
  <c r="O9" i="38" s="1"/>
  <c r="Q9" i="38" s="1"/>
  <c r="K15" i="38"/>
  <c r="O15" i="38" s="1"/>
  <c r="Q15" i="38" s="1"/>
  <c r="H118" i="39"/>
  <c r="H129" i="39"/>
  <c r="G18" i="38"/>
  <c r="J196" i="39"/>
  <c r="H70" i="39"/>
  <c r="D74" i="39"/>
  <c r="H196" i="39"/>
  <c r="J139" i="39"/>
  <c r="H154" i="39"/>
  <c r="H187" i="39"/>
  <c r="J127" i="39"/>
  <c r="G188" i="39"/>
  <c r="J188" i="39" s="1"/>
  <c r="G197" i="39"/>
  <c r="J197" i="39" s="1"/>
  <c r="G99" i="39"/>
  <c r="E18" i="23" s="1"/>
  <c r="F18" i="23" s="1"/>
  <c r="J98" i="39"/>
  <c r="J107" i="39"/>
  <c r="J117" i="39"/>
  <c r="G179" i="39"/>
  <c r="H179" i="39" s="1"/>
  <c r="H107" i="39"/>
  <c r="H24" i="39"/>
  <c r="I42" i="39"/>
  <c r="D42" i="39"/>
  <c r="G11" i="39"/>
  <c r="J11" i="39" s="1"/>
  <c r="G27" i="39"/>
  <c r="H27" i="39" s="1"/>
  <c r="G28" i="39"/>
  <c r="H28" i="39" s="1"/>
  <c r="G29" i="39"/>
  <c r="J29" i="39" s="1"/>
  <c r="G30" i="39"/>
  <c r="J30" i="39" s="1"/>
  <c r="G31" i="39"/>
  <c r="J31" i="39" s="1"/>
  <c r="G34" i="39"/>
  <c r="J34" i="39" s="1"/>
  <c r="G35" i="39"/>
  <c r="J35" i="39" s="1"/>
  <c r="R15" i="15"/>
  <c r="R16" i="15"/>
  <c r="R17" i="15"/>
  <c r="R18" i="15"/>
  <c r="R19" i="15"/>
  <c r="R20" i="15"/>
  <c r="R21" i="15"/>
  <c r="R22" i="15"/>
  <c r="K23" i="15"/>
  <c r="N23" i="15"/>
  <c r="J23" i="15"/>
  <c r="J28" i="39"/>
  <c r="C8" i="38"/>
  <c r="C9" i="38"/>
  <c r="C10" i="38"/>
  <c r="C11" i="38"/>
  <c r="C12" i="38"/>
  <c r="C13" i="38"/>
  <c r="C14" i="38"/>
  <c r="C15" i="38"/>
  <c r="C16" i="38"/>
  <c r="C17" i="38"/>
  <c r="C18" i="38"/>
  <c r="C19" i="38"/>
  <c r="C20" i="38"/>
  <c r="C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7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7" i="38"/>
  <c r="B56" i="8"/>
  <c r="A3" i="15"/>
  <c r="K15" i="23"/>
  <c r="K12" i="23"/>
  <c r="D24" i="8"/>
  <c r="C24" i="8"/>
  <c r="C16" i="8"/>
  <c r="D32" i="8"/>
  <c r="C32" i="8"/>
  <c r="E31" i="8"/>
  <c r="G15" i="8"/>
  <c r="G17" i="8"/>
  <c r="G18" i="8"/>
  <c r="H18" i="8" s="1"/>
  <c r="G19" i="8"/>
  <c r="G26" i="8"/>
  <c r="G28" i="8"/>
  <c r="G14" i="8"/>
  <c r="H14" i="8" s="1"/>
  <c r="D31" i="8"/>
  <c r="D30" i="8"/>
  <c r="C31" i="8"/>
  <c r="C30" i="8"/>
  <c r="D8" i="23"/>
  <c r="D6" i="23"/>
  <c r="E45" i="8"/>
  <c r="H26" i="8"/>
  <c r="B44" i="8"/>
  <c r="H19" i="8"/>
  <c r="H17" i="8"/>
  <c r="E16" i="8"/>
  <c r="D16" i="8"/>
  <c r="H15" i="8"/>
  <c r="E13" i="8"/>
  <c r="E12" i="8" s="1"/>
  <c r="E11" i="8" s="1"/>
  <c r="E10" i="8" s="1"/>
  <c r="D13" i="8"/>
  <c r="D12" i="8" s="1"/>
  <c r="D11" i="8" s="1"/>
  <c r="D10" i="8" s="1"/>
  <c r="D27" i="8" s="1"/>
  <c r="C13" i="8"/>
  <c r="C12" i="8" s="1"/>
  <c r="C11" i="8" s="1"/>
  <c r="C10" i="8" s="1"/>
  <c r="O17" i="38" l="1"/>
  <c r="Q17" i="38" s="1"/>
  <c r="G146" i="39"/>
  <c r="J146" i="39" s="1"/>
  <c r="C29" i="8"/>
  <c r="C36" i="8" s="1"/>
  <c r="H40" i="39"/>
  <c r="G131" i="39"/>
  <c r="J131" i="39" s="1"/>
  <c r="G161" i="39"/>
  <c r="K14" i="38"/>
  <c r="J178" i="39"/>
  <c r="H20" i="39"/>
  <c r="L5" i="23"/>
  <c r="F11" i="38"/>
  <c r="F13" i="8"/>
  <c r="F12" i="8" s="1"/>
  <c r="D29" i="8"/>
  <c r="D36" i="8" s="1"/>
  <c r="D39" i="8" s="1"/>
  <c r="H178" i="39"/>
  <c r="J169" i="39"/>
  <c r="L7" i="38"/>
  <c r="O7" i="38" s="1"/>
  <c r="Q7" i="38" s="1"/>
  <c r="K20" i="38"/>
  <c r="D37" i="8"/>
  <c r="G119" i="39"/>
  <c r="H119" i="39" s="1"/>
  <c r="G170" i="39"/>
  <c r="H170" i="39" s="1"/>
  <c r="I20" i="38"/>
  <c r="J18" i="38"/>
  <c r="H140" i="39"/>
  <c r="J32" i="39"/>
  <c r="K11" i="38"/>
  <c r="M21" i="38"/>
  <c r="O18" i="38"/>
  <c r="Q18" i="38" s="1"/>
  <c r="H50" i="39"/>
  <c r="F22" i="8"/>
  <c r="G22" i="8" s="1"/>
  <c r="H22" i="8" s="1"/>
  <c r="F31" i="8"/>
  <c r="G31" i="8" s="1"/>
  <c r="H31" i="8" s="1"/>
  <c r="G16" i="8"/>
  <c r="H16" i="8" s="1"/>
  <c r="E6" i="23"/>
  <c r="F6" i="23" s="1"/>
  <c r="G23" i="8"/>
  <c r="H23" i="8" s="1"/>
  <c r="K7" i="23"/>
  <c r="B43" i="8"/>
  <c r="B45" i="8" s="1"/>
  <c r="C27" i="8"/>
  <c r="C37" i="8" s="1"/>
  <c r="D5" i="23"/>
  <c r="D7" i="23" s="1"/>
  <c r="D9" i="23" s="1"/>
  <c r="G25" i="8"/>
  <c r="H25" i="8" s="1"/>
  <c r="E24" i="8"/>
  <c r="E27" i="8" s="1"/>
  <c r="L6" i="23"/>
  <c r="M6" i="23" s="1"/>
  <c r="J14" i="38"/>
  <c r="P11" i="38"/>
  <c r="P21" i="38" s="1"/>
  <c r="C49" i="8" s="1"/>
  <c r="H197" i="39"/>
  <c r="G69" i="39"/>
  <c r="H146" i="39"/>
  <c r="E24" i="23"/>
  <c r="F24" i="23" s="1"/>
  <c r="J38" i="39"/>
  <c r="J99" i="39"/>
  <c r="F12" i="38"/>
  <c r="F13" i="38"/>
  <c r="J119" i="39"/>
  <c r="H85" i="39"/>
  <c r="G90" i="39"/>
  <c r="J90" i="39" s="1"/>
  <c r="J82" i="39"/>
  <c r="F14" i="38"/>
  <c r="H65" i="39"/>
  <c r="H33" i="39"/>
  <c r="P19" i="15"/>
  <c r="D17" i="38"/>
  <c r="S17" i="38" s="1"/>
  <c r="H30" i="39"/>
  <c r="G57" i="39"/>
  <c r="H57" i="39" s="1"/>
  <c r="J19" i="38"/>
  <c r="O19" i="38" s="1"/>
  <c r="Q19" i="38" s="1"/>
  <c r="I19" i="38"/>
  <c r="I21" i="38" s="1"/>
  <c r="F170" i="39"/>
  <c r="H37" i="39"/>
  <c r="H11" i="39"/>
  <c r="H131" i="39"/>
  <c r="H188" i="39"/>
  <c r="E199" i="39"/>
  <c r="H34" i="39"/>
  <c r="H35" i="39"/>
  <c r="J39" i="39"/>
  <c r="P22" i="15"/>
  <c r="D20" i="38"/>
  <c r="K12" i="38"/>
  <c r="J36" i="39"/>
  <c r="O20" i="38"/>
  <c r="Q20" i="38" s="1"/>
  <c r="D199" i="39"/>
  <c r="F42" i="39"/>
  <c r="L13" i="15" s="1"/>
  <c r="M13" i="15" s="1"/>
  <c r="D8" i="38"/>
  <c r="S8" i="38" s="1"/>
  <c r="Q10" i="15"/>
  <c r="R10" i="15" s="1"/>
  <c r="O10" i="15"/>
  <c r="P10" i="15" s="1"/>
  <c r="P15" i="15"/>
  <c r="D13" i="38"/>
  <c r="D14" i="38"/>
  <c r="P16" i="15"/>
  <c r="G21" i="38"/>
  <c r="E34" i="8"/>
  <c r="F34" i="8" s="1"/>
  <c r="G34" i="8" s="1"/>
  <c r="H34" i="8" s="1"/>
  <c r="M11" i="15"/>
  <c r="H31" i="39"/>
  <c r="E22" i="23"/>
  <c r="F22" i="23" s="1"/>
  <c r="G109" i="39"/>
  <c r="H32" i="39"/>
  <c r="J27" i="39"/>
  <c r="G42" i="39"/>
  <c r="K13" i="38"/>
  <c r="N11" i="38"/>
  <c r="N21" i="38" s="1"/>
  <c r="D15" i="38"/>
  <c r="S15" i="38" s="1"/>
  <c r="H29" i="39"/>
  <c r="P21" i="15"/>
  <c r="D19" i="38"/>
  <c r="P20" i="15"/>
  <c r="D18" i="38"/>
  <c r="S18" i="38" s="1"/>
  <c r="M18" i="15"/>
  <c r="E30" i="8"/>
  <c r="E35" i="8"/>
  <c r="F35" i="8" s="1"/>
  <c r="M12" i="15"/>
  <c r="K25" i="8"/>
  <c r="L25" i="8" s="1"/>
  <c r="F24" i="8"/>
  <c r="P14" i="15"/>
  <c r="Q14" i="15"/>
  <c r="R14" i="15" s="1"/>
  <c r="D12" i="38"/>
  <c r="E33" i="8"/>
  <c r="M9" i="15"/>
  <c r="J179" i="39"/>
  <c r="H90" i="39" l="1"/>
  <c r="G13" i="8"/>
  <c r="H13" i="8" s="1"/>
  <c r="L21" i="38"/>
  <c r="J170" i="39"/>
  <c r="J161" i="39"/>
  <c r="H161" i="39"/>
  <c r="J21" i="38"/>
  <c r="P23" i="38"/>
  <c r="F44" i="8"/>
  <c r="G44" i="8" s="1"/>
  <c r="C39" i="8"/>
  <c r="D15" i="23"/>
  <c r="D21" i="23"/>
  <c r="D17" i="23"/>
  <c r="D23" i="23"/>
  <c r="D13" i="23"/>
  <c r="D25" i="23"/>
  <c r="D19" i="23"/>
  <c r="F11" i="8"/>
  <c r="G12" i="8"/>
  <c r="H12" i="8" s="1"/>
  <c r="K8" i="23"/>
  <c r="K13" i="23"/>
  <c r="O14" i="38"/>
  <c r="Q14" i="38" s="1"/>
  <c r="S14" i="38" s="1"/>
  <c r="F199" i="39"/>
  <c r="O12" i="38"/>
  <c r="Q12" i="38" s="1"/>
  <c r="S12" i="38" s="1"/>
  <c r="H69" i="39"/>
  <c r="G74" i="39"/>
  <c r="G199" i="39" s="1"/>
  <c r="S20" i="38"/>
  <c r="O13" i="38"/>
  <c r="Q13" i="38" s="1"/>
  <c r="S13" i="38" s="1"/>
  <c r="F21" i="38"/>
  <c r="F23" i="38" s="1"/>
  <c r="E16" i="23"/>
  <c r="F16" i="23" s="1"/>
  <c r="J57" i="39"/>
  <c r="E14" i="23"/>
  <c r="F14" i="23" s="1"/>
  <c r="Q11" i="15"/>
  <c r="R11" i="15" s="1"/>
  <c r="O11" i="15"/>
  <c r="D9" i="38"/>
  <c r="S9" i="38" s="1"/>
  <c r="L23" i="15"/>
  <c r="O11" i="38"/>
  <c r="K21" i="38"/>
  <c r="E20" i="23"/>
  <c r="F20" i="23" s="1"/>
  <c r="H42" i="39"/>
  <c r="J42" i="39"/>
  <c r="L14" i="23"/>
  <c r="M14" i="23" s="1"/>
  <c r="H109" i="39"/>
  <c r="J109" i="39"/>
  <c r="C44" i="8"/>
  <c r="K24" i="8"/>
  <c r="L24" i="8" s="1"/>
  <c r="C48" i="8"/>
  <c r="G24" i="8"/>
  <c r="H24" i="8" s="1"/>
  <c r="Q12" i="15"/>
  <c r="R12" i="15" s="1"/>
  <c r="P12" i="15"/>
  <c r="D10" i="38"/>
  <c r="S10" i="38" s="1"/>
  <c r="L12" i="23"/>
  <c r="M5" i="23"/>
  <c r="G35" i="8"/>
  <c r="H35" i="8" s="1"/>
  <c r="F33" i="8"/>
  <c r="E32" i="8"/>
  <c r="F32" i="8" s="1"/>
  <c r="D11" i="38"/>
  <c r="P13" i="15"/>
  <c r="Q13" i="15"/>
  <c r="R13" i="15" s="1"/>
  <c r="P18" i="15"/>
  <c r="D16" i="38"/>
  <c r="S16" i="38" s="1"/>
  <c r="S19" i="38"/>
  <c r="F30" i="8"/>
  <c r="P9" i="15"/>
  <c r="Q9" i="15"/>
  <c r="D7" i="38"/>
  <c r="M23" i="15"/>
  <c r="E5" i="23" l="1"/>
  <c r="F10" i="8"/>
  <c r="G11" i="8"/>
  <c r="H11" i="8" s="1"/>
  <c r="H74" i="39"/>
  <c r="E12" i="23"/>
  <c r="F12" i="23" s="1"/>
  <c r="J74" i="39"/>
  <c r="O21" i="38"/>
  <c r="F43" i="8" s="1"/>
  <c r="Q11" i="38"/>
  <c r="S11" i="38" s="1"/>
  <c r="P11" i="15"/>
  <c r="P23" i="15" s="1"/>
  <c r="O23" i="15"/>
  <c r="L15" i="23"/>
  <c r="M15" i="23" s="1"/>
  <c r="R9" i="15"/>
  <c r="Q23" i="15"/>
  <c r="R23" i="15" s="1"/>
  <c r="S7" i="38"/>
  <c r="D21" i="38"/>
  <c r="G30" i="8"/>
  <c r="H30" i="8" s="1"/>
  <c r="F29" i="8"/>
  <c r="G33" i="8"/>
  <c r="H33" i="8" s="1"/>
  <c r="E8" i="23"/>
  <c r="M12" i="23"/>
  <c r="D44" i="8"/>
  <c r="E29" i="8"/>
  <c r="E36" i="8" s="1"/>
  <c r="G32" i="8"/>
  <c r="H32" i="8" s="1"/>
  <c r="C50" i="8"/>
  <c r="F5" i="23" l="1"/>
  <c r="E7" i="23"/>
  <c r="F7" i="23" s="1"/>
  <c r="L7" i="23"/>
  <c r="B48" i="8"/>
  <c r="D48" i="8" s="1"/>
  <c r="C43" i="8"/>
  <c r="G10" i="8"/>
  <c r="H10" i="8" s="1"/>
  <c r="F27" i="8"/>
  <c r="B49" i="8"/>
  <c r="D49" i="8" s="1"/>
  <c r="Q21" i="38"/>
  <c r="P22" i="38" s="1"/>
  <c r="G43" i="8"/>
  <c r="G45" i="8" s="1"/>
  <c r="F45" i="8"/>
  <c r="F8" i="23"/>
  <c r="E9" i="23"/>
  <c r="E39" i="8"/>
  <c r="E37" i="8"/>
  <c r="F36" i="8"/>
  <c r="D23" i="38" s="1"/>
  <c r="G29" i="8"/>
  <c r="H29" i="8" s="1"/>
  <c r="L8" i="23" l="1"/>
  <c r="M7" i="23"/>
  <c r="L13" i="23"/>
  <c r="M13" i="23" s="1"/>
  <c r="D43" i="8"/>
  <c r="D45" i="8" s="1"/>
  <c r="C45" i="8"/>
  <c r="D50" i="8"/>
  <c r="I24" i="8"/>
  <c r="I22" i="8"/>
  <c r="I21" i="8"/>
  <c r="I26" i="8"/>
  <c r="I16" i="8"/>
  <c r="G27" i="8"/>
  <c r="H27" i="8" s="1"/>
  <c r="I19" i="8"/>
  <c r="I27" i="8"/>
  <c r="I13" i="8"/>
  <c r="I11" i="8"/>
  <c r="I14" i="8"/>
  <c r="I15" i="8"/>
  <c r="I12" i="8"/>
  <c r="I10" i="8"/>
  <c r="I17" i="8"/>
  <c r="I23" i="8"/>
  <c r="I25" i="8"/>
  <c r="I20" i="8"/>
  <c r="I18" i="8"/>
  <c r="B50" i="8"/>
  <c r="R18" i="38"/>
  <c r="H22" i="38"/>
  <c r="R19" i="38"/>
  <c r="K22" i="38"/>
  <c r="R15" i="38"/>
  <c r="R20" i="38"/>
  <c r="R12" i="38"/>
  <c r="L22" i="38"/>
  <c r="O22" i="38"/>
  <c r="R11" i="38"/>
  <c r="R9" i="38"/>
  <c r="R10" i="38"/>
  <c r="R8" i="38"/>
  <c r="M22" i="38"/>
  <c r="Q22" i="38"/>
  <c r="N22" i="38"/>
  <c r="F22" i="38"/>
  <c r="R14" i="38"/>
  <c r="R7" i="38"/>
  <c r="S21" i="38"/>
  <c r="I22" i="38"/>
  <c r="R13" i="38"/>
  <c r="R17" i="38"/>
  <c r="R16" i="38"/>
  <c r="G22" i="38"/>
  <c r="J22" i="38"/>
  <c r="G36" i="8"/>
  <c r="H36" i="8" s="1"/>
  <c r="I36" i="8"/>
  <c r="F39" i="8"/>
  <c r="I31" i="8"/>
  <c r="I34" i="8"/>
  <c r="I35" i="8"/>
  <c r="I30" i="8"/>
  <c r="I32" i="8"/>
  <c r="I33" i="8"/>
  <c r="F37" i="8"/>
  <c r="G37" i="8" s="1"/>
  <c r="E17" i="23"/>
  <c r="F17" i="23" s="1"/>
  <c r="E13" i="23"/>
  <c r="F13" i="23" s="1"/>
  <c r="F9" i="23"/>
  <c r="E23" i="23"/>
  <c r="F23" i="23" s="1"/>
  <c r="E19" i="23"/>
  <c r="F19" i="23" s="1"/>
  <c r="E21" i="23"/>
  <c r="F21" i="23" s="1"/>
  <c r="E25" i="23"/>
  <c r="F25" i="23" s="1"/>
  <c r="E15" i="23"/>
  <c r="F15" i="23" s="1"/>
  <c r="I29" i="8"/>
  <c r="R21" i="3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Milhomem Brito Menezes</author>
    <author>Flavia Rios Costa</author>
    <author>Tania Mara Chaves Daldegan</author>
  </authors>
  <commentList>
    <comment ref="A7" authorId="0" shapeId="0" xr:uid="{00000000-0006-0000-0400-000001000000}">
      <text>
        <r>
          <rPr>
            <b/>
            <sz val="12"/>
            <color indexed="81"/>
            <rFont val="Tahoma"/>
            <family val="2"/>
          </rPr>
          <t>Área ou setor responsável pela Atividade ou Projeto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" authorId="0" shapeId="0" xr:uid="{00000000-0006-0000-0400-000002000000}">
      <text>
        <r>
          <rPr>
            <b/>
            <sz val="14"/>
            <color indexed="81"/>
            <rFont val="Calibri Light"/>
            <family val="2"/>
            <scheme val="major"/>
          </rPr>
          <t>P= Projeto                                         A= Atividade 
PE= Projeto Específico</t>
        </r>
      </text>
    </comment>
    <comment ref="C7" authorId="1" shapeId="0" xr:uid="{00000000-0006-0000-0400-000003000000}">
      <text>
        <r>
          <rPr>
            <sz val="18"/>
            <color indexed="81"/>
            <rFont val="Tahoma"/>
            <family val="2"/>
          </rPr>
          <t xml:space="preserve">AT= Projeto ou Atividade Atual ( já existente na Programação 2021)                             
N= Projeto ou Atividade Nova (não existente na Programação 2021)
R= Projeto ou Atividade Reformulada (alterada)
E= Projeto ou Atividade Excluída
C= Projeto concluído
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D7" authorId="1" shapeId="0" xr:uid="{00000000-0006-0000-0400-000004000000}">
      <text>
        <r>
          <rPr>
            <b/>
            <sz val="14"/>
            <color indexed="81"/>
            <rFont val="Segoe UI"/>
            <family val="2"/>
          </rPr>
          <t>Marcar X para as iniciativas que irão utilizar o Fundo de Apoio- Apenas para CAU Básicos.</t>
        </r>
      </text>
    </comment>
    <comment ref="E7" authorId="0" shapeId="0" xr:uid="{00000000-0006-0000-0400-000005000000}">
      <text>
        <r>
          <rPr>
            <b/>
            <sz val="13"/>
            <color indexed="81"/>
            <rFont val="Tahoma"/>
            <family val="2"/>
          </rPr>
          <t>Nome do Projeto ou Atividade do Plano de Ação .</t>
        </r>
        <r>
          <rPr>
            <sz val="13"/>
            <color indexed="81"/>
            <rFont val="Tahoma"/>
            <family val="2"/>
          </rPr>
          <t xml:space="preserve">
</t>
        </r>
      </text>
    </comment>
    <comment ref="F7" authorId="0" shapeId="0" xr:uid="{00000000-0006-0000-0400-000006000000}">
      <text>
        <r>
          <rPr>
            <b/>
            <sz val="13"/>
            <color indexed="81"/>
            <rFont val="Tahoma"/>
            <family val="2"/>
          </rPr>
          <t xml:space="preserve">
É a motivação geral e a síntese dos efeitos que se deseja produzir.</t>
        </r>
        <r>
          <rPr>
            <sz val="13"/>
            <color indexed="81"/>
            <rFont val="Tahoma"/>
            <family val="2"/>
          </rPr>
          <t xml:space="preserve">
</t>
        </r>
      </text>
    </comment>
    <comment ref="G7" authorId="0" shapeId="0" xr:uid="{00000000-0006-0000-0400-000007000000}">
      <text>
        <r>
          <rPr>
            <b/>
            <sz val="13"/>
            <color indexed="81"/>
            <rFont val="Tahoma"/>
            <family val="2"/>
          </rPr>
          <t xml:space="preserve">Selecionar uma das opções nas células abaixo que estão de acordo com os objetivos estratégicos do Mapa Estratégico no âmbito das perspectivas da Sociedade, Processos Internos, Alavancadores e Pessoas e Infraestrutura.
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H7" authorId="0" shapeId="0" xr:uid="{00000000-0006-0000-0400-000008000000}">
      <text>
        <r>
          <rPr>
            <b/>
            <sz val="13"/>
            <color indexed="81"/>
            <rFont val="Tahoma"/>
            <family val="2"/>
          </rPr>
          <t>Ao firmar o compromisso de incluir os ODS à sua estratégia, o CAU abre caminho para melhorar sua atuação e atender aos anseios da sociedade por projetos e serviços alinhados aos princípios da sustentabilidade. Neste contexto, torna-se facultativo o enquadramento dos projetos e atividades nos ODS em 2021.</t>
        </r>
      </text>
    </comment>
    <comment ref="I7" authorId="0" shapeId="0" xr:uid="{00000000-0006-0000-0400-000009000000}">
      <text>
        <r>
          <rPr>
            <b/>
            <sz val="13"/>
            <color indexed="81"/>
            <rFont val="Tahoma"/>
            <family val="2"/>
          </rPr>
          <t xml:space="preserve">São os efeitos que devem ser produzidos com a execução do projeto/atividade, dentro do seu horizonte do tempo. Refletem o objetivo geral do projeto e representam o seu desdobramento em metas mensuráveis. Resultado = Transformação + Indicador + Meta + Prazo, conforme descritivo no Anexo 4
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J7" authorId="0" shapeId="0" xr:uid="{00000000-0006-0000-0400-00000A000000}">
      <text>
        <r>
          <rPr>
            <b/>
            <sz val="13"/>
            <color indexed="81"/>
            <rFont val="Tahoma"/>
            <family val="2"/>
          </rPr>
          <t xml:space="preserve">Os valores devem ser iguais do Plano de Ação da Programação 2021 aprovado. Caso tenha feito a Reprogramação Extraordinária 2021, considerar os valores aprovados nessa reprogramação. 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K7" authorId="0" shapeId="0" xr:uid="{00000000-0006-0000-0400-00000B000000}">
      <text>
        <r>
          <rPr>
            <b/>
            <sz val="14"/>
            <color indexed="81"/>
            <rFont val="Tahoma"/>
            <family val="2"/>
          </rPr>
          <t xml:space="preserve">Valores  dos Projetos/Atividades da Reprogramação 2021.
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M7" authorId="0" shapeId="0" xr:uid="{00000000-0006-0000-0400-00000C000000}">
      <text>
        <r>
          <rPr>
            <b/>
            <sz val="13"/>
            <color indexed="81"/>
            <rFont val="Tahoma"/>
            <family val="2"/>
          </rPr>
          <t>Valores  dos Projetos/Atividades do Plano de Ação da Reprogramação 2021= Execução+Projetado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N7" authorId="1" shapeId="0" xr:uid="{00000000-0006-0000-0400-00000D000000}">
      <text>
        <r>
          <rPr>
            <b/>
            <sz val="15"/>
            <color indexed="81"/>
            <rFont val="Tahoma"/>
            <family val="2"/>
          </rPr>
          <t xml:space="preserve"> Resolução nº 200- Art. 9º "Fica autorizada a utilização de superávit financeiro acumulado até o exercício imediatamente anterior, apurado no balanço patrimonial, em despesas de capital e em projetos específicos, com seus respectivos planos de trabalho, de caráter não continuado, não configurado como atividade, em ações cuja realização seja suportada por despesas de natureza corrente".</t>
        </r>
      </text>
    </comment>
    <comment ref="O7" authorId="1" shapeId="0" xr:uid="{00000000-0006-0000-0400-00000E000000}">
      <text>
        <r>
          <rPr>
            <b/>
            <sz val="13"/>
            <color indexed="81"/>
            <rFont val="Tahoma"/>
            <family val="2"/>
          </rPr>
          <t>Para os CAU Básicos : Valores do Fundo de Apoio distribuídos por Projeto/Atividade. Vale a ressalva que a Atividade do CSC deve</t>
        </r>
        <r>
          <rPr>
            <b/>
            <sz val="13"/>
            <color indexed="8"/>
            <rFont val="Tahoma"/>
            <family val="2"/>
          </rPr>
          <t xml:space="preserve"> ser pago com o Fundo de Apoio. Não utilizar em despesa de capital.</t>
        </r>
      </text>
    </comment>
    <comment ref="K8" authorId="2" shapeId="0" xr:uid="{00000000-0006-0000-0400-00000F000000}">
      <text>
        <r>
          <rPr>
            <b/>
            <sz val="15"/>
            <color indexed="81"/>
            <rFont val="Segoe UI"/>
            <family val="2"/>
          </rPr>
          <t xml:space="preserve">O valor do "Executado 2021": retirar do SISCONT. NET, no caminho "Centro de Custos&gt; Relatórios&gt; Demonstrativo de empenhos/pagamentos"; período de  01/01/2021 até 31/05/2021; na coluna "LIQUIDAÇÕES".  </t>
        </r>
        <r>
          <rPr>
            <b/>
            <sz val="20"/>
            <color indexed="81"/>
            <rFont val="Segoe UI"/>
            <family val="2"/>
          </rPr>
          <t xml:space="preserve">
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Flavia Rios Costa</author>
    <author>Gustavo Milhomem Brito Menezes</author>
    <author>Tania Mara Chaves Daldegan</author>
  </authors>
  <commentList>
    <comment ref="C7" authorId="0" shapeId="0" xr:uid="{00000000-0006-0000-0500-000001000000}">
      <text>
        <r>
          <rPr>
            <b/>
            <sz val="12"/>
            <color indexed="81"/>
            <rFont val="Tahoma"/>
            <family val="2"/>
          </rPr>
          <t xml:space="preserve">Os valores devem ser iguais do Plano de Ação da Programação 2021 aprovado. Caso tenha feito a Reprogramação Extraordinária 2021, considerar os valores aprovados nessa reprogramação. 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D8" authorId="1" shapeId="0" xr:uid="{00000000-0006-0000-0500-000002000000}">
      <text>
        <r>
          <rPr>
            <b/>
            <sz val="11"/>
            <color indexed="81"/>
            <rFont val="Tahoma"/>
            <family val="2"/>
          </rPr>
          <t>O valor das "Receitas realizadas 2021": retirar do SISCONT. NET, no caminho:  "Contabilidade&gt; Relatórios-&gt;Consolidado&gt;comparativo da receita"; período de 01/01/2021 até 31/05/2021; na coluna "Arrec.Período"</t>
        </r>
      </text>
    </comment>
    <comment ref="E8" authorId="1" shapeId="0" xr:uid="{00000000-0006-0000-0500-000003000000}">
      <text>
        <r>
          <rPr>
            <b/>
            <sz val="12"/>
            <color indexed="81"/>
            <rFont val="Tahoma"/>
            <family val="2"/>
          </rPr>
          <t>De acordo com as ações e metas a serem executadas em 2021.</t>
        </r>
      </text>
    </comment>
    <comment ref="F8" authorId="1" shapeId="0" xr:uid="{00000000-0006-0000-0500-000004000000}">
      <text>
        <r>
          <rPr>
            <b/>
            <sz val="12"/>
            <color indexed="81"/>
            <rFont val="Tahoma"/>
            <family val="2"/>
          </rPr>
          <t xml:space="preserve">Observar os valores que estão nas Diretrizes da Reprogramação 2021 para Anuidades, RRT, Taxas e Multas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" authorId="0" shapeId="0" xr:uid="{00000000-0006-0000-0500-000005000000}">
      <text>
        <r>
          <rPr>
            <b/>
            <sz val="10"/>
            <color indexed="81"/>
            <rFont val="Tahoma"/>
            <family val="2"/>
          </rPr>
          <t>Somar os valores do exercício atual e exercícios anteriores.</t>
        </r>
      </text>
    </comment>
    <comment ref="A16" authorId="0" shapeId="0" xr:uid="{00000000-0006-0000-0500-000006000000}">
      <text>
        <r>
          <rPr>
            <b/>
            <sz val="10"/>
            <color indexed="81"/>
            <rFont val="Tahoma"/>
            <family val="2"/>
          </rPr>
          <t>Somar os valores do exercício atual e exercícios anteriores.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" authorId="0" shapeId="0" xr:uid="{00000000-0006-0000-0500-000007000000}">
      <text>
        <r>
          <rPr>
            <b/>
            <sz val="10"/>
            <color indexed="81"/>
            <rFont val="Tahoma"/>
            <family val="2"/>
          </rPr>
          <t>Considerar taxas e multas todos os valores relacionados com: Taxa Expediente RRT extemporâneo; Taxa Selic; Documento de fiscalização; Multa e mora de anuidades; Certidão de acervo técnico com atestado; Registro de direito autoral; Multa ética; Multa ausência na eleição, conforme informações do Siccau/Siscont.net.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" authorId="0" shapeId="0" xr:uid="{00000000-0006-0000-0500-000008000000}">
      <text>
        <r>
          <rPr>
            <b/>
            <sz val="11"/>
            <color indexed="81"/>
            <rFont val="Tahoma"/>
            <family val="2"/>
          </rPr>
          <t>Apenas o Valor do APORTE DO CSC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" authorId="2" shapeId="0" xr:uid="{00000000-0006-0000-0500-000009000000}">
      <text>
        <r>
          <rPr>
            <b/>
            <sz val="14"/>
            <color indexed="81"/>
            <rFont val="Segoe UI"/>
            <family val="2"/>
          </rPr>
          <t>Valores conforme o anexo "Fontes e Aplicações" do Parecer da Programação 2021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A52" authorId="0" shapeId="0" xr:uid="{00000000-0006-0000-0500-00000A000000}">
      <text>
        <r>
          <rPr>
            <sz val="13"/>
            <color indexed="81"/>
            <rFont val="Tahoma"/>
            <family val="2"/>
          </rPr>
          <t>Resolução 200- art 9º "Fica autorizada a utilização de superávit financeiro acumulado até o exercício imediatamente anterior, apurado no balanço patrimonial, em despesas de capital e em projetos específicos, com seus respectivos planos de trabalho, de caráter não continuado, não configurado como atividade, em ações cuja realização seja suportada por despesas de natureza corrente."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Milhomem Brito Menezes</author>
    <author>Tania Mara Chaves Daldegan</author>
  </authors>
  <commentList>
    <comment ref="B5" authorId="0" shapeId="0" xr:uid="{00000000-0006-0000-0600-000001000000}">
      <text>
        <r>
          <rPr>
            <b/>
            <sz val="11"/>
            <color indexed="81"/>
            <rFont val="Tahoma"/>
            <family val="2"/>
          </rPr>
          <t xml:space="preserve">Vinculada as Receitas de Arrecadação do Anexo 1.1 - Usos e Fonte COM os valores das anuidades de exercícios anteriores.
</t>
        </r>
      </text>
    </comment>
    <comment ref="B6" authorId="0" shapeId="0" xr:uid="{00000000-0006-0000-0600-000002000000}">
      <text>
        <r>
          <rPr>
            <b/>
            <sz val="13"/>
            <color indexed="81"/>
            <rFont val="Tahoma"/>
            <family val="2"/>
          </rPr>
          <t>Apenas para os Cau Básicos. O valor total deve ser igual do que consta nas Diretrizes da Reprogramação 2021.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" authorId="1" shapeId="0" xr:uid="{00000000-0006-0000-0600-000003000000}">
      <text>
        <r>
          <rPr>
            <b/>
            <sz val="14"/>
            <color indexed="81"/>
            <rFont val="Tahoma"/>
            <family val="2"/>
          </rPr>
          <t>Detalhar o valor no campo das justificativas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= Receita de Arrecadação + Recurso do Fundo de Apoio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00000000-0006-0000-0600-000005000000}">
      <text>
        <r>
          <rPr>
            <b/>
            <sz val="13"/>
            <color indexed="81"/>
            <rFont val="Tahoma"/>
            <family val="2"/>
          </rPr>
          <t>Vinculada as Receitas de Arrecadação do Anexo 1.</t>
        </r>
      </text>
    </comment>
    <comment ref="B9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RAL= Receita de Arrecadação + Fundo de Apoio (apenas CAU Básicos) - Aportes ( CSC + FA)</t>
        </r>
      </text>
    </comment>
    <comment ref="F12" authorId="1" shapeId="0" xr:uid="{00000000-0006-0000-0600-000007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3" authorId="1" shapeId="0" xr:uid="{00000000-0006-0000-0600-000008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4" authorId="1" shapeId="0" xr:uid="{00000000-0006-0000-0600-000009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5" authorId="1" shapeId="0" xr:uid="{00000000-0006-0000-0600-00000A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6" authorId="1" shapeId="0" xr:uid="{00000000-0006-0000-0600-00000B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7" authorId="1" shapeId="0" xr:uid="{00000000-0006-0000-0600-00000C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8" authorId="1" shapeId="0" xr:uid="{00000000-0006-0000-0600-00000D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9" authorId="1" shapeId="0" xr:uid="{00000000-0006-0000-0600-00000E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0" authorId="1" shapeId="0" xr:uid="{00000000-0006-0000-0600-00000F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1" authorId="1" shapeId="0" xr:uid="{00000000-0006-0000-0600-000010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2" authorId="1" shapeId="0" xr:uid="{00000000-0006-0000-0600-000011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3" authorId="1" shapeId="0" xr:uid="{00000000-0006-0000-0600-000012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4" authorId="1" shapeId="0" xr:uid="{00000000-0006-0000-0600-000013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5" authorId="1" shapeId="0" xr:uid="{00000000-0006-0000-0600-000014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Fabiana ...</author>
    <author>Tania Mara Chaves Daldegan</author>
  </authors>
  <commentList>
    <comment ref="B5" authorId="0" shapeId="0" xr:uid="{00000000-0006-0000-0700-000001000000}">
      <text>
        <r>
          <rPr>
            <b/>
            <sz val="9"/>
            <color indexed="81"/>
            <rFont val="Segoe UI"/>
            <family val="2"/>
          </rPr>
          <t>1.Vedada a utilização para a despesa de capital. 
2.Custear a participação do presidente nas Plenárias Ampliadas.
3.Custear o CSC.</t>
        </r>
      </text>
    </comment>
    <comment ref="L5" authorId="1" shapeId="0" xr:uid="{00000000-0006-0000-0700-000002000000}">
      <text>
        <r>
          <rPr>
            <b/>
            <sz val="9"/>
            <color indexed="81"/>
            <rFont val="Segoe UI"/>
            <family val="2"/>
          </rPr>
          <t>Aporte ao Fundo de apoio
Aporte o CSC
Patrocínio
Convênios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Tania Mara Chaves Daldegan</author>
  </authors>
  <commentList>
    <comment ref="C3" authorId="0" shapeId="0" xr:uid="{00000000-0006-0000-0800-000001000000}">
      <text>
        <r>
          <rPr>
            <sz val="18"/>
            <color indexed="81"/>
            <rFont val="Segoe UI"/>
            <family val="2"/>
          </rPr>
          <t xml:space="preserve">DEVE respeitar a correlação entre a ação estratégica e os objetivos estratégicos, conforme a aba - Ações estratégicas.
</t>
        </r>
      </text>
    </comment>
    <comment ref="E3" authorId="0" shapeId="0" xr:uid="{00000000-0006-0000-0800-000002000000}">
      <text>
        <r>
          <rPr>
            <b/>
            <sz val="18"/>
            <color indexed="81"/>
            <rFont val="Segoe UI"/>
            <family val="2"/>
          </rPr>
          <t xml:space="preserve">Valores conforme a execução orçamentária do SISCONT.NET. </t>
        </r>
        <r>
          <rPr>
            <sz val="18"/>
            <color indexed="81"/>
            <rFont val="Segoe UI"/>
            <family val="2"/>
          </rPr>
          <t xml:space="preserve">
</t>
        </r>
      </text>
    </comment>
    <comment ref="C10" authorId="0" shapeId="0" xr:uid="{00000000-0006-0000-0800-000003000000}">
      <text>
        <r>
          <rPr>
            <sz val="18"/>
            <color indexed="81"/>
            <rFont val="Segoe UI"/>
            <family val="2"/>
          </rPr>
          <t xml:space="preserve">DEVE respeitar a correlação entre a ação estratégica e os objetivos estratégicos, conforme a aba - Ações estratégicas.
</t>
        </r>
      </text>
    </comment>
    <comment ref="E10" authorId="0" shapeId="0" xr:uid="{00000000-0006-0000-0800-000004000000}">
      <text>
        <r>
          <rPr>
            <b/>
            <sz val="18"/>
            <color indexed="81"/>
            <rFont val="Segoe UI"/>
            <family val="2"/>
          </rPr>
          <t xml:space="preserve">Valores conforme a execução orçamentária do SISCONT.NET. </t>
        </r>
        <r>
          <rPr>
            <sz val="18"/>
            <color indexed="81"/>
            <rFont val="Segoe UI"/>
            <family val="2"/>
          </rPr>
          <t xml:space="preserve">
</t>
        </r>
      </text>
    </comment>
    <comment ref="C49" authorId="0" shapeId="0" xr:uid="{00000000-0006-0000-0800-000005000000}">
      <text>
        <r>
          <rPr>
            <sz val="18"/>
            <color indexed="81"/>
            <rFont val="Segoe UI"/>
            <family val="2"/>
          </rPr>
          <t xml:space="preserve">DEVE respeitar a correlação entre a ação estratégica e os objetivos estratégicos, conforme a aba - Ações estratégicas.
</t>
        </r>
      </text>
    </comment>
    <comment ref="E49" authorId="0" shapeId="0" xr:uid="{00000000-0006-0000-0800-000006000000}">
      <text>
        <r>
          <rPr>
            <b/>
            <sz val="18"/>
            <color indexed="81"/>
            <rFont val="Segoe UI"/>
            <family val="2"/>
          </rPr>
          <t xml:space="preserve">Valores conforme a execução orçamentária do SISCONT.NET. </t>
        </r>
        <r>
          <rPr>
            <sz val="18"/>
            <color indexed="81"/>
            <rFont val="Segoe UI"/>
            <family val="2"/>
          </rPr>
          <t xml:space="preserve">
</t>
        </r>
      </text>
    </comment>
    <comment ref="C64" authorId="0" shapeId="0" xr:uid="{00000000-0006-0000-0800-000007000000}">
      <text>
        <r>
          <rPr>
            <sz val="18"/>
            <color indexed="81"/>
            <rFont val="Segoe UI"/>
            <family val="2"/>
          </rPr>
          <t xml:space="preserve">DEVE respeitar a correlação entre a ação estratégica e os objetivos estratégicos, conforme a aba - Ações estratégicas.
</t>
        </r>
      </text>
    </comment>
    <comment ref="E64" authorId="0" shapeId="0" xr:uid="{00000000-0006-0000-0800-000008000000}">
      <text>
        <r>
          <rPr>
            <b/>
            <sz val="18"/>
            <color indexed="81"/>
            <rFont val="Segoe UI"/>
            <family val="2"/>
          </rPr>
          <t xml:space="preserve">Valores conforme a execução orçamentária do SISCONT.NET. </t>
        </r>
        <r>
          <rPr>
            <sz val="18"/>
            <color indexed="81"/>
            <rFont val="Segoe UI"/>
            <family val="2"/>
          </rPr>
          <t xml:space="preserve">
</t>
        </r>
      </text>
    </comment>
    <comment ref="C81" authorId="0" shapeId="0" xr:uid="{00000000-0006-0000-0800-000009000000}">
      <text>
        <r>
          <rPr>
            <sz val="18"/>
            <color indexed="81"/>
            <rFont val="Segoe UI"/>
            <family val="2"/>
          </rPr>
          <t xml:space="preserve">DEVE respeitar a correlação entre a ação estratégica e os objetivos estratégicos, conforme a aba - Ações estratégicas.
</t>
        </r>
      </text>
    </comment>
    <comment ref="E81" authorId="0" shapeId="0" xr:uid="{00000000-0006-0000-0800-00000A000000}">
      <text>
        <r>
          <rPr>
            <b/>
            <sz val="18"/>
            <color indexed="81"/>
            <rFont val="Segoe UI"/>
            <family val="2"/>
          </rPr>
          <t xml:space="preserve">Valores conforme a execução orçamentária do SISCONT.NET. </t>
        </r>
        <r>
          <rPr>
            <sz val="18"/>
            <color indexed="81"/>
            <rFont val="Segoe UI"/>
            <family val="2"/>
          </rPr>
          <t xml:space="preserve">
</t>
        </r>
      </text>
    </comment>
    <comment ref="C97" authorId="0" shapeId="0" xr:uid="{00000000-0006-0000-0800-00000B000000}">
      <text>
        <r>
          <rPr>
            <sz val="18"/>
            <color indexed="81"/>
            <rFont val="Segoe UI"/>
            <family val="2"/>
          </rPr>
          <t xml:space="preserve">DEVE respeitar a correlação entre a ação estratégica e os objetivos estratégicos, conforme a aba - Ações estratégicas.
</t>
        </r>
      </text>
    </comment>
    <comment ref="E97" authorId="0" shapeId="0" xr:uid="{00000000-0006-0000-0800-00000C000000}">
      <text>
        <r>
          <rPr>
            <b/>
            <sz val="18"/>
            <color indexed="81"/>
            <rFont val="Segoe UI"/>
            <family val="2"/>
          </rPr>
          <t xml:space="preserve">Valores conforme a execução orçamentária do SISCONT.NET. </t>
        </r>
        <r>
          <rPr>
            <sz val="18"/>
            <color indexed="81"/>
            <rFont val="Segoe UI"/>
            <family val="2"/>
          </rPr>
          <t xml:space="preserve">
</t>
        </r>
      </text>
    </comment>
    <comment ref="C106" authorId="0" shapeId="0" xr:uid="{00000000-0006-0000-0800-00000D000000}">
      <text>
        <r>
          <rPr>
            <sz val="18"/>
            <color indexed="81"/>
            <rFont val="Segoe UI"/>
            <family val="2"/>
          </rPr>
          <t xml:space="preserve">DEVE respeitar a correlação entre a ação estratégica e os objetivos estratégicos, conforme a aba - Ações estratégicas.
</t>
        </r>
      </text>
    </comment>
    <comment ref="E106" authorId="0" shapeId="0" xr:uid="{00000000-0006-0000-0800-00000E000000}">
      <text>
        <r>
          <rPr>
            <b/>
            <sz val="18"/>
            <color indexed="81"/>
            <rFont val="Segoe UI"/>
            <family val="2"/>
          </rPr>
          <t xml:space="preserve">Valores conforme a execução orçamentária do SISCONT.NET. </t>
        </r>
        <r>
          <rPr>
            <sz val="18"/>
            <color indexed="81"/>
            <rFont val="Segoe UI"/>
            <family val="2"/>
          </rPr>
          <t xml:space="preserve">
</t>
        </r>
      </text>
    </comment>
    <comment ref="C116" authorId="0" shapeId="0" xr:uid="{00000000-0006-0000-0800-00000F000000}">
      <text>
        <r>
          <rPr>
            <sz val="18"/>
            <color indexed="81"/>
            <rFont val="Segoe UI"/>
            <family val="2"/>
          </rPr>
          <t xml:space="preserve">DEVE respeitar a correlação entre a ação estratégica e os objetivos estratégicos, conforme a aba - Ações estratégicas.
</t>
        </r>
      </text>
    </comment>
    <comment ref="E116" authorId="0" shapeId="0" xr:uid="{00000000-0006-0000-0800-000010000000}">
      <text>
        <r>
          <rPr>
            <b/>
            <sz val="18"/>
            <color indexed="81"/>
            <rFont val="Segoe UI"/>
            <family val="2"/>
          </rPr>
          <t xml:space="preserve">Valores conforme a execução orçamentária do SISCONT.NET. </t>
        </r>
        <r>
          <rPr>
            <sz val="18"/>
            <color indexed="81"/>
            <rFont val="Segoe UI"/>
            <family val="2"/>
          </rPr>
          <t xml:space="preserve">
</t>
        </r>
      </text>
    </comment>
    <comment ref="C126" authorId="0" shapeId="0" xr:uid="{00000000-0006-0000-0800-000011000000}">
      <text>
        <r>
          <rPr>
            <sz val="18"/>
            <color indexed="81"/>
            <rFont val="Segoe UI"/>
            <family val="2"/>
          </rPr>
          <t xml:space="preserve">DEVE respeitar a correlação entre a ação estratégica e os objetivos estratégicos, conforme a aba - Ações estratégicas.
</t>
        </r>
      </text>
    </comment>
    <comment ref="E126" authorId="0" shapeId="0" xr:uid="{00000000-0006-0000-0800-000012000000}">
      <text>
        <r>
          <rPr>
            <b/>
            <sz val="18"/>
            <color indexed="81"/>
            <rFont val="Segoe UI"/>
            <family val="2"/>
          </rPr>
          <t xml:space="preserve">Valores conforme a execução orçamentária do SISCONT.NET. </t>
        </r>
        <r>
          <rPr>
            <sz val="18"/>
            <color indexed="81"/>
            <rFont val="Segoe UI"/>
            <family val="2"/>
          </rPr>
          <t xml:space="preserve">
</t>
        </r>
      </text>
    </comment>
    <comment ref="C138" authorId="0" shapeId="0" xr:uid="{00000000-0006-0000-0800-000013000000}">
      <text>
        <r>
          <rPr>
            <sz val="18"/>
            <color indexed="81"/>
            <rFont val="Segoe UI"/>
            <family val="2"/>
          </rPr>
          <t xml:space="preserve">DEVE respeitar a correlação entre a ação estratégica e os objetivos estratégicos, conforme a aba - Ações estratégicas.
</t>
        </r>
      </text>
    </comment>
    <comment ref="E138" authorId="0" shapeId="0" xr:uid="{00000000-0006-0000-0800-000014000000}">
      <text>
        <r>
          <rPr>
            <b/>
            <sz val="18"/>
            <color indexed="81"/>
            <rFont val="Segoe UI"/>
            <family val="2"/>
          </rPr>
          <t xml:space="preserve">Valores conforme a execução orçamentária do SISCONT.NET. </t>
        </r>
        <r>
          <rPr>
            <sz val="18"/>
            <color indexed="81"/>
            <rFont val="Segoe UI"/>
            <family val="2"/>
          </rPr>
          <t xml:space="preserve">
</t>
        </r>
      </text>
    </comment>
    <comment ref="C153" authorId="0" shapeId="0" xr:uid="{00000000-0006-0000-0800-000015000000}">
      <text>
        <r>
          <rPr>
            <sz val="18"/>
            <color indexed="81"/>
            <rFont val="Segoe UI"/>
            <family val="2"/>
          </rPr>
          <t xml:space="preserve">DEVE respeitar a correlação entre a ação estratégica e os objetivos estratégicos, conforme a aba - Ações estratégicas.
</t>
        </r>
      </text>
    </comment>
    <comment ref="E153" authorId="0" shapeId="0" xr:uid="{00000000-0006-0000-0800-000016000000}">
      <text>
        <r>
          <rPr>
            <b/>
            <sz val="18"/>
            <color indexed="81"/>
            <rFont val="Segoe UI"/>
            <family val="2"/>
          </rPr>
          <t xml:space="preserve">Valores conforme a execução orçamentária do SISCONT.NET. </t>
        </r>
        <r>
          <rPr>
            <sz val="18"/>
            <color indexed="81"/>
            <rFont val="Segoe UI"/>
            <family val="2"/>
          </rPr>
          <t xml:space="preserve">
</t>
        </r>
      </text>
    </comment>
    <comment ref="C168" authorId="0" shapeId="0" xr:uid="{00000000-0006-0000-0800-000017000000}">
      <text>
        <r>
          <rPr>
            <sz val="18"/>
            <color indexed="81"/>
            <rFont val="Segoe UI"/>
            <family val="2"/>
          </rPr>
          <t xml:space="preserve">DEVE respeitar a correlação entre a ação estratégica e os objetivos estratégicos, conforme a aba - Ações estratégicas.
</t>
        </r>
      </text>
    </comment>
    <comment ref="E168" authorId="0" shapeId="0" xr:uid="{00000000-0006-0000-0800-000018000000}">
      <text>
        <r>
          <rPr>
            <b/>
            <sz val="18"/>
            <color indexed="81"/>
            <rFont val="Segoe UI"/>
            <family val="2"/>
          </rPr>
          <t xml:space="preserve">Valores conforme a execução orçamentária do SISCONT.NET. </t>
        </r>
        <r>
          <rPr>
            <sz val="18"/>
            <color indexed="81"/>
            <rFont val="Segoe UI"/>
            <family val="2"/>
          </rPr>
          <t xml:space="preserve">
</t>
        </r>
      </text>
    </comment>
    <comment ref="C177" authorId="0" shapeId="0" xr:uid="{00000000-0006-0000-0800-000019000000}">
      <text>
        <r>
          <rPr>
            <sz val="18"/>
            <color indexed="81"/>
            <rFont val="Segoe UI"/>
            <family val="2"/>
          </rPr>
          <t xml:space="preserve">DEVE respeitar a correlação entre a ação estratégica e os objetivos estratégicos, conforme a aba - Ações estratégicas.
</t>
        </r>
      </text>
    </comment>
    <comment ref="E177" authorId="0" shapeId="0" xr:uid="{00000000-0006-0000-0800-00001A000000}">
      <text>
        <r>
          <rPr>
            <b/>
            <sz val="18"/>
            <color indexed="81"/>
            <rFont val="Segoe UI"/>
            <family val="2"/>
          </rPr>
          <t xml:space="preserve">Valores conforme a execução orçamentária do SISCONT.NET. </t>
        </r>
        <r>
          <rPr>
            <sz val="18"/>
            <color indexed="81"/>
            <rFont val="Segoe UI"/>
            <family val="2"/>
          </rPr>
          <t xml:space="preserve">
</t>
        </r>
      </text>
    </comment>
    <comment ref="C186" authorId="0" shapeId="0" xr:uid="{00000000-0006-0000-0800-00001B000000}">
      <text>
        <r>
          <rPr>
            <sz val="18"/>
            <color indexed="81"/>
            <rFont val="Segoe UI"/>
            <family val="2"/>
          </rPr>
          <t xml:space="preserve">DEVE respeitar a correlação entre a ação estratégica e os objetivos estratégicos, conforme a aba - Ações estratégicas.
</t>
        </r>
      </text>
    </comment>
    <comment ref="E186" authorId="0" shapeId="0" xr:uid="{00000000-0006-0000-0800-00001C000000}">
      <text>
        <r>
          <rPr>
            <b/>
            <sz val="18"/>
            <color indexed="81"/>
            <rFont val="Segoe UI"/>
            <family val="2"/>
          </rPr>
          <t xml:space="preserve">Valores conforme a execução orçamentária do SISCONT.NET. </t>
        </r>
        <r>
          <rPr>
            <sz val="18"/>
            <color indexed="81"/>
            <rFont val="Segoe UI"/>
            <family val="2"/>
          </rPr>
          <t xml:space="preserve">
</t>
        </r>
      </text>
    </comment>
    <comment ref="C195" authorId="0" shapeId="0" xr:uid="{00000000-0006-0000-0800-00001D000000}">
      <text>
        <r>
          <rPr>
            <sz val="18"/>
            <color indexed="81"/>
            <rFont val="Segoe UI"/>
            <family val="2"/>
          </rPr>
          <t xml:space="preserve">DEVE respeitar a correlação entre a ação estratégica e os objetivos estratégicos, conforme a aba - Ações estratégicas.
</t>
        </r>
      </text>
    </comment>
    <comment ref="E195" authorId="0" shapeId="0" xr:uid="{00000000-0006-0000-0800-00001E000000}">
      <text>
        <r>
          <rPr>
            <b/>
            <sz val="18"/>
            <color indexed="81"/>
            <rFont val="Segoe UI"/>
            <family val="2"/>
          </rPr>
          <t xml:space="preserve">Valores conforme a execução orçamentária do SISCONT.NET. </t>
        </r>
        <r>
          <rPr>
            <sz val="18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<sst xmlns="http://schemas.openxmlformats.org/spreadsheetml/2006/main" count="1193" uniqueCount="566">
  <si>
    <t>Total</t>
  </si>
  <si>
    <t>Pessoal</t>
  </si>
  <si>
    <t>Imobilizado</t>
  </si>
  <si>
    <t>Variação</t>
  </si>
  <si>
    <t>Unidade Responsável</t>
  </si>
  <si>
    <t>Denominação</t>
  </si>
  <si>
    <t>TOTAL</t>
  </si>
  <si>
    <t>Especificação</t>
  </si>
  <si>
    <t>I - FONTES</t>
  </si>
  <si>
    <t>1. Receitas Correntes</t>
  </si>
  <si>
    <t>1.1.1 Anuidades</t>
  </si>
  <si>
    <t>1.1.1.1 Pessoa Física</t>
  </si>
  <si>
    <t>1.1.1.2 Pessoa Jurídica</t>
  </si>
  <si>
    <t>1.2 Aplicações Financeiras</t>
  </si>
  <si>
    <t>1.4 Fundo de Apoio</t>
  </si>
  <si>
    <t>2 Receitas de Capital</t>
  </si>
  <si>
    <t>2.1 Saldos de Exercícios Anteriores (Superávit Financeiro)</t>
  </si>
  <si>
    <t xml:space="preserve"> I – TOTAL</t>
  </si>
  <si>
    <t>II.1 Programação Operacional</t>
  </si>
  <si>
    <t>Projetos</t>
  </si>
  <si>
    <t>II.2 Aportes ao Fundo de Apoio</t>
  </si>
  <si>
    <t>II – TOTAL</t>
  </si>
  <si>
    <t>VARIAÇÃO (I-II)</t>
  </si>
  <si>
    <t>Valores em R$ 1,00</t>
  </si>
  <si>
    <t xml:space="preserve">Variação                                                      </t>
  </si>
  <si>
    <t>II.4 Reserva de Contingência</t>
  </si>
  <si>
    <t>Impactar significativamente o planejamento e a gestão do território</t>
  </si>
  <si>
    <t>Tornar a fiscalização um vetor de melhoria do exercício da Arquitetura e Urbanismo</t>
  </si>
  <si>
    <t>Assegurar a eficácia no atendimento e no relacionamento com os arquitetos e urbanistas e a sociedade</t>
  </si>
  <si>
    <t>Estimular o conhecimento, o uso de processos criativos e a difusão das melhores práticas em Arquitetura e Urbanismo</t>
  </si>
  <si>
    <t>Garantir a participação dos arquitetos e urbanistas no planejamento territorial e na gestão urbana</t>
  </si>
  <si>
    <t>Estimular a produção da arquitetura e urbanismo como política de Estado</t>
  </si>
  <si>
    <t>Assegurar a eficácia no relacionamento e comunicação com a sociedade</t>
  </si>
  <si>
    <t>Promover o exercício ético e qualificado da profissão</t>
  </si>
  <si>
    <t>Fomentar o acesso da sociedade à Arquitetura e Urbanismo</t>
  </si>
  <si>
    <t>Assegurar a sustentabilidade financeira</t>
  </si>
  <si>
    <t>Aprimorar e inovar os processos e as ações</t>
  </si>
  <si>
    <t>Desenvolver competências de dirigentes e colaboradores</t>
  </si>
  <si>
    <t>Construir cultura organizacional adequada à estratégia</t>
  </si>
  <si>
    <t>Ter sistemas de informação e infraestrutura que viabilizem a gestão e o atendimento dos arquitetos e urbanistas e a sociedade</t>
  </si>
  <si>
    <t>Indicadores Institucionais e de Resultado (agrupados por objetivo estratégico) - Metas</t>
  </si>
  <si>
    <t>Objetivo Estratégico Principal</t>
  </si>
  <si>
    <t>MAPA ESTRATÉGICO CAU/UF</t>
  </si>
  <si>
    <t>Denominação (Projeto/Atividade)</t>
  </si>
  <si>
    <t>Material de Consumo</t>
  </si>
  <si>
    <t>Serviços de Terceiros</t>
  </si>
  <si>
    <t>Encargos Diversos</t>
  </si>
  <si>
    <t>Soma</t>
  </si>
  <si>
    <t>% Part.</t>
  </si>
  <si>
    <t>Diárias</t>
  </si>
  <si>
    <t>Passagens</t>
  </si>
  <si>
    <t>Serviços Prestados</t>
  </si>
  <si>
    <t>TOTAL GERAL</t>
  </si>
  <si>
    <t>BASE DE CÁLCULO</t>
  </si>
  <si>
    <t>APLICAÇÕES DE RECURSOS</t>
  </si>
  <si>
    <t xml:space="preserve">FOLHA DE PAGAMENTO </t>
  </si>
  <si>
    <t>2. Recursos do fundo de apoio (CAU Básico)</t>
  </si>
  <si>
    <t>Valor</t>
  </si>
  <si>
    <t xml:space="preserve">% </t>
  </si>
  <si>
    <t>Variação (%)</t>
  </si>
  <si>
    <t>LIMITES</t>
  </si>
  <si>
    <t xml:space="preserve">Objetivo Geral </t>
  </si>
  <si>
    <t>CAU/UF:</t>
  </si>
  <si>
    <t>1.1.3 Taxas e Multas</t>
  </si>
  <si>
    <t xml:space="preserve">Fórmula </t>
  </si>
  <si>
    <t xml:space="preserve">Periodicidade </t>
  </si>
  <si>
    <t>B- INDICADORES DE RESULTADO</t>
  </si>
  <si>
    <t>A- INDICADORES INSTITUCIONAIS</t>
  </si>
  <si>
    <t xml:space="preserve">II.3 Aporte ao CSC </t>
  </si>
  <si>
    <t>Atividades</t>
  </si>
  <si>
    <t>Orientação: As células em cinza estão vinculadas com fórmulas, não devem ser preenchidas.</t>
  </si>
  <si>
    <t>B. Valor total das rescisões contratuais, auxílio alimentação, auxílio transporte, plano de saúde e demais benefícios.</t>
  </si>
  <si>
    <t>3. Soma (1+2)</t>
  </si>
  <si>
    <t>C. Receitas Correntes</t>
  </si>
  <si>
    <t>4. Aportes ao Fundo de Apoio</t>
  </si>
  <si>
    <t>Pessoal e Encargos</t>
  </si>
  <si>
    <t>A. Pessoal e Encargos (Valores totais)</t>
  </si>
  <si>
    <t>Denominação do Projeto ou Atividade :</t>
  </si>
  <si>
    <t>1. QUADRO GERAL</t>
  </si>
  <si>
    <t>Resultado</t>
  </si>
  <si>
    <t>1.1.3 RRT</t>
  </si>
  <si>
    <t xml:space="preserve">BASE DE CÁLCULO </t>
  </si>
  <si>
    <t xml:space="preserve">Variação </t>
  </si>
  <si>
    <t>Metas Físicas</t>
  </si>
  <si>
    <t xml:space="preserve">CATEGORIA ECONÔMICA </t>
  </si>
  <si>
    <t>Corrente</t>
  </si>
  <si>
    <t xml:space="preserve">Capital </t>
  </si>
  <si>
    <t xml:space="preserve">FONTES </t>
  </si>
  <si>
    <t>USOS</t>
  </si>
  <si>
    <t>Variação % 
(C=B/A)</t>
  </si>
  <si>
    <t>5.  Receita da Arrecadação Líquida (RAL = 3 - 4)</t>
  </si>
  <si>
    <t>Anual</t>
  </si>
  <si>
    <t>Trimestral</t>
  </si>
  <si>
    <t>1.1.1.1.2 Anuidade Exercícios anteriores</t>
  </si>
  <si>
    <t>1.1.1.2.2 Anuidade Exercícios anteriores</t>
  </si>
  <si>
    <t>4) Atentar as orientações em amarelo em cada aba da Planilha .</t>
  </si>
  <si>
    <t>1.1 Receitas de Arrecadação Total</t>
  </si>
  <si>
    <t>x 100</t>
  </si>
  <si>
    <t>Mensal</t>
  </si>
  <si>
    <t>Semestral</t>
  </si>
  <si>
    <t>número de usuários satisfeitos com a solução da demanda</t>
  </si>
  <si>
    <t>número de usuários que responderam a pesquisa</t>
  </si>
  <si>
    <t>total de notícias sobre questões de Arquitetura e Urbanismo</t>
  </si>
  <si>
    <t>total de inserções do CAU na mídia</t>
  </si>
  <si>
    <t>passivo circulante</t>
  </si>
  <si>
    <t>total de profissionais ativos</t>
  </si>
  <si>
    <t>total de empresas inadimplentes</t>
  </si>
  <si>
    <t>horas totais de treinamento</t>
  </si>
  <si>
    <t>número total de colaboradores e dirigentes</t>
  </si>
  <si>
    <t>total de usuários internos que participaram da pesquisa</t>
  </si>
  <si>
    <t>total de usuários externos que participaram da pesquisa</t>
  </si>
  <si>
    <t>01 - Erradicação da pobreza</t>
  </si>
  <si>
    <t>05 - Igualdade de gênero</t>
  </si>
  <si>
    <t>08 - Trabalho decente e crescimento econômico</t>
  </si>
  <si>
    <t>10 - Redução das desigualdades</t>
  </si>
  <si>
    <t>11 - Cidades e comunidades sustentáveis</t>
  </si>
  <si>
    <t>14 - Vida na água</t>
  </si>
  <si>
    <t>16 - Paz, justiça e instituições eficazes</t>
  </si>
  <si>
    <t>17 - Parcerias e meios de implementação</t>
  </si>
  <si>
    <t>02 - Fome zero e agricultura sustentável</t>
  </si>
  <si>
    <t>03 - Saúde e bem-estar</t>
  </si>
  <si>
    <t>04 - Educação de qualidade</t>
  </si>
  <si>
    <t>06 - Água limpa e saneamento</t>
  </si>
  <si>
    <t>09 - Inovação infraestrutura</t>
  </si>
  <si>
    <t>12 - Consumo e produção responsáveis</t>
  </si>
  <si>
    <t>13 - Ação contra a mudança global do clima</t>
  </si>
  <si>
    <t>15 - Vida terrestre</t>
  </si>
  <si>
    <t xml:space="preserve">Correntes </t>
  </si>
  <si>
    <t>Capital</t>
  </si>
  <si>
    <t>I - Receitas</t>
  </si>
  <si>
    <t>II - Despesas</t>
  </si>
  <si>
    <r>
      <t>07 - Energia limpa e acessível</t>
    </r>
    <r>
      <rPr>
        <sz val="20"/>
        <color theme="1"/>
        <rFont val="Arial"/>
        <family val="2"/>
      </rPr>
      <t> </t>
    </r>
  </si>
  <si>
    <t>Ações Estratégicas Prioritárias</t>
  </si>
  <si>
    <t>OBJETIVO ESTRATÉGICO</t>
  </si>
  <si>
    <t>CLASSE</t>
  </si>
  <si>
    <t xml:space="preserve"> AÇÃO ESTRATÉGICA PRIORITÁRIA</t>
  </si>
  <si>
    <t>DESCRIÇÃO</t>
  </si>
  <si>
    <t>Assegurar a eficácia no atendimento e no relacionamento com os Arquitetos e Urbanistas e a Sociedade</t>
  </si>
  <si>
    <t>Priorizada</t>
  </si>
  <si>
    <t>Uso de aplicativos e ferramentas de comunicação para prestar atendimento mais ágil e eficiente.</t>
  </si>
  <si>
    <t>Auto-Atendimento</t>
  </si>
  <si>
    <t>Qualificação dos Canais de Atendimento</t>
  </si>
  <si>
    <t>Ações para melhorar o nível de qualidade do atendimento, em suas diversas modalidades: Presencial, Telefone, E-Mail e SICCAU e processos (Registro de PF e PJ, Atualização Cadastral, RRT)</t>
  </si>
  <si>
    <t>Ações Locais em Mídia</t>
  </si>
  <si>
    <t>Ações Nacionais em Mídia</t>
  </si>
  <si>
    <t>Realização de Campanhas nacionais de comunicação (levando em conta eventuais diferenças regionais) em temas prioritários do CAU: ATHIS, Licitações, Ensino, Valorização da Profissão.</t>
  </si>
  <si>
    <t>Atualização do Portal da Transparência</t>
  </si>
  <si>
    <t>Ações para garantir que as informações constantes no Portal da Transparência estejam devidamente atualizadas.</t>
  </si>
  <si>
    <t>Estimular a produção da Arquitetura e Urbanismo como política de Estado</t>
  </si>
  <si>
    <t>Representação em Instâncias Públicas</t>
  </si>
  <si>
    <t>Ampliação da representação de Arquitetos e Urbanistas em Conselhos Públicos, tanto em nível estadual quanto municipal, para participar e conduzir as discussões.</t>
  </si>
  <si>
    <t>Câmaras Temáticas</t>
  </si>
  <si>
    <t>Estabelecimento e consolidação de câmaras temáticas para discussão e deliberação sobre temas prioritários do CAU: Acessibilidade, Patrimônio Histórico, Estudos Urbanos, etc.)</t>
  </si>
  <si>
    <t>Editais de Patrocínio</t>
  </si>
  <si>
    <t>Capacitação em ATHIS</t>
  </si>
  <si>
    <t>Fomento das ações de capacitação em ATHIS.</t>
  </si>
  <si>
    <t>Cooperação Técnica para ATHIS</t>
  </si>
  <si>
    <t>Realização de Ações e Formalização de Acordos e Convênios de Cooperação Técnica com Entes Públicos, de acordo com a realidade de cada UF.</t>
  </si>
  <si>
    <t>Influenciar as diretrizes do ensino de Arquitetura e Urbanismo e sua formação continuada</t>
  </si>
  <si>
    <t>Ações de Melhoria da Qualidade do Ensino</t>
  </si>
  <si>
    <t>Promoção e Participação em Eventos (Seminários, Cursos, Oficinas, Palestras, Aulas Magnas, etc.) realizados por ou em conjunto com IES, bem como realização de Campanhas pela Qualidade do Ensino</t>
  </si>
  <si>
    <t>CAU nas Escolas</t>
  </si>
  <si>
    <t>Realização de ações de divulgação da Arquitetura e Urbanismo nas escolhas de ensino básico e médio.</t>
  </si>
  <si>
    <t>Audiências de Conciliação</t>
  </si>
  <si>
    <t>Realização de Audiências de Conciliação em Processos Éticos.</t>
  </si>
  <si>
    <t>Melhoria de Processo Ético</t>
  </si>
  <si>
    <t>Realizar ações de melhoria no Processo Ético (Informatização, Redesenho de Processo), incluindo os processos de apuração de denúncia.</t>
  </si>
  <si>
    <t>Palestras e campanhas sobre Aspectos Éticos</t>
  </si>
  <si>
    <t>Realização de abordando definidos e partir do estudo das condutas de maior incidência em processos éticos.</t>
  </si>
  <si>
    <t>Cooperação Técnica para Fiscalização</t>
  </si>
  <si>
    <t>Formalização de Acordos e Convênios de Cooperação Técnica com Instituições, de acordo com a realidade de cada UF.</t>
  </si>
  <si>
    <t>Plataforma de Georreferenciamento</t>
  </si>
  <si>
    <t>Concepção e Implantação de processos de trabalho que faça uso de plataforma de georreferenciamento integrado (IGEO e outras tecnologias)</t>
  </si>
  <si>
    <t>Fiscalização Orientativa</t>
  </si>
  <si>
    <t>Realização de Campanhas de Orientação, com produção de material adequado aos diversos públicos envolvidos.</t>
  </si>
  <si>
    <t>Fiscalização em Obras</t>
  </si>
  <si>
    <t>Ações de fiscalização direta em obras.</t>
  </si>
  <si>
    <t>Serviços de Terceiros- Diárias</t>
  </si>
  <si>
    <t>Serviços de Terceiros- Passagens</t>
  </si>
  <si>
    <t>Serviços de Terceiros- Serviços Prestados</t>
  </si>
  <si>
    <t>Serviços de Terceiros- Aluguéis e Encargos</t>
  </si>
  <si>
    <t>Transferências Correntes</t>
  </si>
  <si>
    <t xml:space="preserve">Objetivos de Desenvolvimento Sustentável </t>
  </si>
  <si>
    <t>2.2 Outras Receitas de Capital</t>
  </si>
  <si>
    <t>1.3 Outras Receitas Correntes</t>
  </si>
  <si>
    <t>Objetivos de Desenvolvimento Sustentável (Facultativo)</t>
  </si>
  <si>
    <t>Não se aplica</t>
  </si>
  <si>
    <t>Atendimento Eletrônico</t>
  </si>
  <si>
    <t>Valorizar a Arquitetura e Urbanismo</t>
  </si>
  <si>
    <t>Garantir a participação dos Arquitetos e Urbanistas no planejamento territorial e na gestão urbana</t>
  </si>
  <si>
    <t>Descrições das Ações</t>
  </si>
  <si>
    <t>Meta da Ação  (Quant.)</t>
  </si>
  <si>
    <t xml:space="preserve">Reserva de Contingência </t>
  </si>
  <si>
    <t>P/A/ PE</t>
  </si>
  <si>
    <t>LEGENDA: P = PROJETO/ A = ATIVIDADE/ PE: PROJETO ESPECÍFICO / FP = FUNDO DE APOIO</t>
  </si>
  <si>
    <t>AT/N/R/E/C/PE</t>
  </si>
  <si>
    <t>FA</t>
  </si>
  <si>
    <t xml:space="preserve">Part. % (G)           </t>
  </si>
  <si>
    <t>Valores
 (E=D-A)</t>
  </si>
  <si>
    <t>%       
 (F=E/A)</t>
  </si>
  <si>
    <t>Proposta de Reprogramação (D=B+C)</t>
  </si>
  <si>
    <t>RRT mínima</t>
  </si>
  <si>
    <t>número de usuários internos satisfeitos com a tecnologia</t>
  </si>
  <si>
    <t>número de usuários externos satisfeitos com a tecnologia</t>
  </si>
  <si>
    <t>ativo circulante</t>
  </si>
  <si>
    <t>total de profissionais inadimplentes</t>
  </si>
  <si>
    <t>número de processos éticos concluídos em um ano</t>
  </si>
  <si>
    <t>Variação
(%)</t>
  </si>
  <si>
    <t>Projetos Específicos</t>
  </si>
  <si>
    <t>II - Despesas de capital</t>
  </si>
  <si>
    <t>III - Projetos específicos</t>
  </si>
  <si>
    <t>A. Saldo IV = (I-II-III)</t>
  </si>
  <si>
    <t xml:space="preserve">A custear com Recursos do Superávit Financeiro (R$)
 (E) </t>
  </si>
  <si>
    <t>Fundo de Apoio 
 (F)</t>
  </si>
  <si>
    <t>% Utilização do Fundo de Apoio
(G=F/D)</t>
  </si>
  <si>
    <t xml:space="preserve"> Valor(R$)
(H=D-A)</t>
  </si>
  <si>
    <t>% 
(I= H/A *100)</t>
  </si>
  <si>
    <t>2. COMENTÁRIOS/JUSTIFICATIVAS:</t>
  </si>
  <si>
    <t xml:space="preserve">Não </t>
  </si>
  <si>
    <t xml:space="preserve">Deliberações importantes </t>
  </si>
  <si>
    <t>Variação % 
(F=E/D)</t>
  </si>
  <si>
    <t xml:space="preserve"> </t>
  </si>
  <si>
    <t xml:space="preserve">Fundo de Apoio </t>
  </si>
  <si>
    <t>Orientações de Preenchimento dos Elementos de Despesas:</t>
  </si>
  <si>
    <t>Orientações para preenchimento do Modelo do Plano de Ação - Reprogramação 2021</t>
  </si>
  <si>
    <t>3) Usar o arquivo da Reprogramação 2021 enviado pela GERPLAN.</t>
  </si>
  <si>
    <t xml:space="preserve">RESOLUÇÃO N° 200, DE 15 DE DEZEMBRO DE 2020
</t>
  </si>
  <si>
    <t>RESOLUÇÃO N° 193, DE 24 DE SETEMBRO DE 2020</t>
  </si>
  <si>
    <t>2) Não alterar cores, fórmulas e formatações no modelo.</t>
  </si>
  <si>
    <r>
      <t xml:space="preserve">Orientação: Selecionar os objetivos estratégicos prioritários em âmbito local trabalhados em 2021. Os objetivos estratégicos. em âmbito nacional, foram alterados para : </t>
    </r>
    <r>
      <rPr>
        <sz val="12"/>
        <color rgb="FFFF0000"/>
        <rFont val="Calibri"/>
        <family val="2"/>
        <scheme val="minor"/>
      </rPr>
      <t xml:space="preserve">Fiscalização,  AU como Política de Estado e Acesso da Sociedade à AU, </t>
    </r>
    <r>
      <rPr>
        <b/>
        <sz val="12"/>
        <color theme="1"/>
        <rFont val="Calibri"/>
        <family val="2"/>
        <scheme val="minor"/>
      </rPr>
      <t>devem ser obrigatoriamente trabalhados.</t>
    </r>
  </si>
  <si>
    <r>
      <t xml:space="preserve">Justificativa: </t>
    </r>
    <r>
      <rPr>
        <b/>
        <sz val="11"/>
        <color rgb="FFFF0000"/>
        <rFont val="Calibri"/>
        <family val="2"/>
        <scheme val="minor"/>
      </rPr>
      <t>( Caso haja alterações nos objetivos locais referente a Programação 2021, incluir uma breve justificativa)</t>
    </r>
  </si>
  <si>
    <r>
      <t xml:space="preserve">Índice de municípios que possuem  Plano Diretor, em conformidade com os critérios da legislação (%) 
</t>
    </r>
    <r>
      <rPr>
        <b/>
        <sz val="18"/>
        <color theme="1"/>
        <rFont val="Calibri"/>
        <family val="2"/>
        <scheme val="minor"/>
      </rPr>
      <t xml:space="preserve">(CAU/UF) </t>
    </r>
  </si>
  <si>
    <t>número de municípios  da UF que possuem  Plano Diretor</t>
  </si>
  <si>
    <t>total de municípios da UF</t>
  </si>
  <si>
    <r>
      <t xml:space="preserve">Índice da capacidade de fiscalização (%) 
</t>
    </r>
    <r>
      <rPr>
        <b/>
        <sz val="18"/>
        <rFont val="Calibri"/>
        <family val="2"/>
        <scheme val="minor"/>
      </rPr>
      <t xml:space="preserve">(CAU/UF) </t>
    </r>
  </si>
  <si>
    <t xml:space="preserve">quantidade de ações de fiscalização realizadas pelo CAU/UF no mês </t>
  </si>
  <si>
    <t xml:space="preserve">Mensal </t>
  </si>
  <si>
    <t xml:space="preserve">número de ações de fiscalização previstas no Plano de Ação aprovado </t>
  </si>
  <si>
    <r>
      <t xml:space="preserve">Índice de presença profissional nas obras e  serviços fiscalizados  (%)
</t>
    </r>
    <r>
      <rPr>
        <b/>
        <sz val="18"/>
        <rFont val="Calibri"/>
        <family val="2"/>
        <scheme val="minor"/>
      </rPr>
      <t xml:space="preserve">(CAU/UF) </t>
    </r>
    <r>
      <rPr>
        <sz val="18"/>
        <rFont val="Calibri"/>
        <family val="2"/>
        <scheme val="minor"/>
      </rPr>
      <t xml:space="preserve">                   </t>
    </r>
  </si>
  <si>
    <t>quantidade de obras e serviços regulares</t>
  </si>
  <si>
    <t>quantidade de obras e serviços fiscalizados pelo CAU/UF</t>
  </si>
  <si>
    <r>
      <t xml:space="preserve">Índice de RRT por profissional ativo (Qtd)
</t>
    </r>
    <r>
      <rPr>
        <b/>
        <sz val="18"/>
        <rFont val="Calibri"/>
        <family val="2"/>
        <scheme val="minor"/>
      </rPr>
      <t xml:space="preserve">(CAU/UF)         </t>
    </r>
    <r>
      <rPr>
        <sz val="18"/>
        <rFont val="Calibri"/>
        <family val="2"/>
        <scheme val="minor"/>
      </rPr>
      <t xml:space="preserve">       </t>
    </r>
  </si>
  <si>
    <t>número total de RRT registrados (pagos) por mês</t>
  </si>
  <si>
    <t xml:space="preserve"> total de profissionais ativos </t>
  </si>
  <si>
    <r>
      <t xml:space="preserve">Índice de capacidade de atendimento de denúncias  (%)
</t>
    </r>
    <r>
      <rPr>
        <b/>
        <sz val="18"/>
        <rFont val="Calibri"/>
        <family val="2"/>
        <scheme val="minor"/>
      </rPr>
      <t>(CAU/UF)</t>
    </r>
  </si>
  <si>
    <t>quantidade de denúncias atendidas</t>
  </si>
  <si>
    <t>número de denúncias recebidas</t>
  </si>
  <si>
    <r>
      <t xml:space="preserve">Índice de eficiência na conclusão de processos de fiscalização  (%)
</t>
    </r>
    <r>
      <rPr>
        <b/>
        <sz val="18"/>
        <rFont val="Calibri"/>
        <family val="2"/>
        <scheme val="minor"/>
      </rPr>
      <t>(CAU/UF)</t>
    </r>
  </si>
  <si>
    <t>número de processos de fiscalização concluídos no semestre</t>
  </si>
  <si>
    <t xml:space="preserve"> número total de processos de fiscalização em aberto no ano</t>
  </si>
  <si>
    <r>
      <t xml:space="preserve">Índice da capacidade de articulação institucional para fiscalização (%)
</t>
    </r>
    <r>
      <rPr>
        <b/>
        <sz val="18"/>
        <rFont val="Calibri"/>
        <family val="2"/>
        <scheme val="minor"/>
      </rPr>
      <t>(CAU/UF)</t>
    </r>
  </si>
  <si>
    <t>quantidade de termos de cooperação técnica e parcerias para racionalização da ações de fiscalização</t>
  </si>
  <si>
    <t>número de termos e parcerias previstos no Plano de Ação</t>
  </si>
  <si>
    <r>
      <t xml:space="preserve">Índice produtividade de fiscalização (%)
</t>
    </r>
    <r>
      <rPr>
        <b/>
        <sz val="18"/>
        <rFont val="Calibri"/>
        <family val="2"/>
        <scheme val="minor"/>
      </rPr>
      <t>(CAU/UF)</t>
    </r>
  </si>
  <si>
    <t>quantidade mensal de ações de fiscalização realizada</t>
  </si>
  <si>
    <t>número de horas de fiscalização mensal</t>
  </si>
  <si>
    <r>
      <t xml:space="preserve">Índice de regularidade no CAU (%)
</t>
    </r>
    <r>
      <rPr>
        <b/>
        <sz val="18"/>
        <rFont val="Calibri"/>
        <family val="2"/>
        <scheme val="minor"/>
      </rPr>
      <t>(CAU/UF)</t>
    </r>
  </si>
  <si>
    <t>quantidade obras e serviços com RRT</t>
  </si>
  <si>
    <r>
      <t xml:space="preserve">Índice de regularização de obras e serviços (%)
</t>
    </r>
    <r>
      <rPr>
        <b/>
        <sz val="18"/>
        <rFont val="Calibri"/>
        <family val="2"/>
        <scheme val="minor"/>
      </rPr>
      <t>(CAU/UF)</t>
    </r>
  </si>
  <si>
    <t>quantidade de obras e serviços regularizados</t>
  </si>
  <si>
    <r>
      <t xml:space="preserve">Índice de regularização com RRT (%)
</t>
    </r>
    <r>
      <rPr>
        <b/>
        <sz val="18"/>
        <rFont val="Calibri"/>
        <family val="2"/>
        <scheme val="minor"/>
      </rPr>
      <t>(CAU/UF)</t>
    </r>
  </si>
  <si>
    <t>quantidade de obras e serviços regularizados com RRT</t>
  </si>
  <si>
    <t>quantidade obras e serviços regularizados</t>
  </si>
  <si>
    <r>
      <t xml:space="preserve">Índice de atendimento (%)
</t>
    </r>
    <r>
      <rPr>
        <b/>
        <sz val="18"/>
        <rFont val="Calibri"/>
        <family val="2"/>
        <scheme val="minor"/>
      </rPr>
      <t>(CAU/UF)</t>
    </r>
  </si>
  <si>
    <t>Número de solicitações tratadas no prazo estipulado pela Carta de Serviços no trimestre</t>
  </si>
  <si>
    <t>Número de solicitações abertas no trimestre</t>
  </si>
  <si>
    <r>
      <t xml:space="preserve">Índice de satisfação com a solução da demanda (%)
</t>
    </r>
    <r>
      <rPr>
        <b/>
        <sz val="18"/>
        <rFont val="Calibri"/>
        <family val="2"/>
        <scheme val="minor"/>
      </rPr>
      <t>(CAU/UF)</t>
    </r>
  </si>
  <si>
    <r>
      <t xml:space="preserve">Índice de reclamações recebidas na Ouvidoria (%)
</t>
    </r>
    <r>
      <rPr>
        <b/>
        <sz val="18"/>
        <rFont val="Calibri"/>
        <family val="2"/>
        <scheme val="minor"/>
      </rPr>
      <t>(CAU/UF)</t>
    </r>
  </si>
  <si>
    <t xml:space="preserve">número de reclamações recebidas pela Ouvidoria  no trimestre                                                                                                               </t>
  </si>
  <si>
    <t xml:space="preserve">número total de atendimentos pela Ouvidoria no trimestre                                   </t>
  </si>
  <si>
    <r>
      <t xml:space="preserve">Índice da capacidade de execução dos investimentos em patrocínios  (%)
</t>
    </r>
    <r>
      <rPr>
        <b/>
        <sz val="18"/>
        <rFont val="Calibri"/>
        <family val="2"/>
        <scheme val="minor"/>
      </rPr>
      <t>(CAU/UF)</t>
    </r>
  </si>
  <si>
    <t>valor orçamentário investido (executado) em patrocínios no ano</t>
  </si>
  <si>
    <t xml:space="preserve">Anual
</t>
  </si>
  <si>
    <t>valor orçamentário destinado (orçado) em patrocínios no ano</t>
  </si>
  <si>
    <r>
      <t xml:space="preserve">Índice de difusão de conhecimento em eventos próprios (%)
</t>
    </r>
    <r>
      <rPr>
        <b/>
        <sz val="18"/>
        <rFont val="Calibri"/>
        <family val="2"/>
        <scheme val="minor"/>
      </rPr>
      <t>(CAU/UF)</t>
    </r>
  </si>
  <si>
    <t>Quantidade de participantes presentes</t>
  </si>
  <si>
    <t>quantidade de participantes previstas no Plano de Ação Aprovado</t>
  </si>
  <si>
    <r>
      <t xml:space="preserve">Índice de eficiência de custos de eventos próprios
</t>
    </r>
    <r>
      <rPr>
        <b/>
        <sz val="18"/>
        <rFont val="Calibri"/>
        <family val="2"/>
        <scheme val="minor"/>
      </rPr>
      <t>(CAU/UF)</t>
    </r>
  </si>
  <si>
    <t>custos totais dos eventos</t>
  </si>
  <si>
    <t>quantidade de participantes presentes</t>
  </si>
  <si>
    <r>
      <t xml:space="preserve">Índice de alcance das melhores práticas (%)
</t>
    </r>
    <r>
      <rPr>
        <b/>
        <sz val="18"/>
        <rFont val="Calibri"/>
        <family val="2"/>
        <scheme val="minor"/>
      </rPr>
      <t>(CAU/UF)</t>
    </r>
  </si>
  <si>
    <t>número de pessoas atingida pelo material produzido e distribuído</t>
  </si>
  <si>
    <t>quantidade de material informativo produzido</t>
  </si>
  <si>
    <r>
      <t xml:space="preserve">Ações realizadas em conjunto com municípios, destinadas ao planejamento urbano
</t>
    </r>
    <r>
      <rPr>
        <b/>
        <sz val="18"/>
        <color theme="1"/>
        <rFont val="Calibri"/>
        <family val="2"/>
        <scheme val="minor"/>
      </rPr>
      <t>(CAU/UF)</t>
    </r>
  </si>
  <si>
    <t>número de ações com participação do CAU/UF</t>
  </si>
  <si>
    <r>
      <t xml:space="preserve">Participação do CAU na elaboração ou regulamentação da Lei da Assistência Técnica Gratuita (Lei nº 11.888/08) (%)
</t>
    </r>
    <r>
      <rPr>
        <b/>
        <sz val="18"/>
        <rFont val="Calibri"/>
        <family val="2"/>
        <scheme val="minor"/>
      </rPr>
      <t>(CAU/UF)</t>
    </r>
  </si>
  <si>
    <t>número de municípios da UF que passaram a aplicar a Lei de Assistência Técnica</t>
  </si>
  <si>
    <r>
      <t xml:space="preserve">Índice de ações realizadas destinadas à Assistência Técnica (%)
</t>
    </r>
    <r>
      <rPr>
        <b/>
        <sz val="18"/>
        <rFont val="Calibri"/>
        <family val="2"/>
        <scheme val="minor"/>
      </rPr>
      <t>(CAU/UF)</t>
    </r>
  </si>
  <si>
    <r>
      <t xml:space="preserve">Acessos à página do CAU (Qtd.)
</t>
    </r>
    <r>
      <rPr>
        <b/>
        <sz val="18"/>
        <rFont val="Calibri"/>
        <family val="2"/>
        <scheme val="minor"/>
      </rPr>
      <t>(CAU/UF)</t>
    </r>
  </si>
  <si>
    <t>quantidade de acessos qualificados (visitantes únicos) a página do CAU/UF</t>
  </si>
  <si>
    <r>
      <t xml:space="preserve">Índice de presença na mídia como um todo (%)
</t>
    </r>
    <r>
      <rPr>
        <b/>
        <sz val="18"/>
        <rFont val="Calibri"/>
        <family val="2"/>
        <scheme val="minor"/>
      </rPr>
      <t>(CAU/UF)</t>
    </r>
  </si>
  <si>
    <t>número de inserções na mídia em geral onde o CAU/UF foi citado</t>
  </si>
  <si>
    <r>
      <t xml:space="preserve">Índice de inserções positivas na mídia (%)
</t>
    </r>
    <r>
      <rPr>
        <b/>
        <sz val="18"/>
        <rFont val="Calibri"/>
        <family val="2"/>
        <scheme val="minor"/>
      </rPr>
      <t>(CAU/UF)</t>
    </r>
  </si>
  <si>
    <t>número de inserções positivas do CAU/UF na mídia</t>
  </si>
  <si>
    <t>Número de  visualizações das publicações do CAU/UF das redes sociais</t>
  </si>
  <si>
    <t>quantidade de visualizações das publicações do CAU/UF das redes sociais</t>
  </si>
  <si>
    <r>
      <t xml:space="preserve">Índice de escolas que possuem disciplinas com conteúdo sobre a ética profissional (%)
</t>
    </r>
    <r>
      <rPr>
        <b/>
        <sz val="18"/>
        <rFont val="Calibri"/>
        <family val="2"/>
        <scheme val="minor"/>
      </rPr>
      <t>(CAU/UF)</t>
    </r>
  </si>
  <si>
    <t>número de escolas da UF com a disciplina de ética profissional na grade curricular</t>
  </si>
  <si>
    <t>número total de escolas da UF</t>
  </si>
  <si>
    <r>
      <t xml:space="preserve">Índice de eficiência na conclusão de processos éticos (%)
</t>
    </r>
    <r>
      <rPr>
        <b/>
        <sz val="18"/>
        <rFont val="Calibri"/>
        <family val="2"/>
        <scheme val="minor"/>
      </rPr>
      <t>(CAU/UF)</t>
    </r>
  </si>
  <si>
    <t>número total de processos éticos abertos</t>
  </si>
  <si>
    <r>
      <t xml:space="preserve">Eficiência no trâmite de processos éticos (dias)
</t>
    </r>
    <r>
      <rPr>
        <b/>
        <sz val="18"/>
        <rFont val="Calibri"/>
        <family val="2"/>
        <scheme val="minor"/>
      </rPr>
      <t>(CAU/UF)</t>
    </r>
  </si>
  <si>
    <t>tempo médio de conclusão de processos éticos</t>
  </si>
  <si>
    <t>tempo máximo para conclusão de processo</t>
  </si>
  <si>
    <t>ALERTA: NOVO OBJETIVO NACIONAL - DIRETRIZES 2021</t>
  </si>
  <si>
    <r>
      <t xml:space="preserve">Índice de RRT por população (1.000 habitantes) (%)
</t>
    </r>
    <r>
      <rPr>
        <b/>
        <sz val="18"/>
        <rFont val="Calibri"/>
        <family val="2"/>
        <scheme val="minor"/>
      </rPr>
      <t>(CAU/UF)</t>
    </r>
  </si>
  <si>
    <t>total de RRT na UF</t>
  </si>
  <si>
    <t>população total da UF/1000 habitantes</t>
  </si>
  <si>
    <r>
      <t xml:space="preserve">Índice de RRT mínimos (%)
</t>
    </r>
    <r>
      <rPr>
        <b/>
        <sz val="18"/>
        <rFont val="Calibri"/>
        <family val="2"/>
        <scheme val="minor"/>
      </rPr>
      <t>(CAU/UF)</t>
    </r>
  </si>
  <si>
    <r>
      <t xml:space="preserve">Índice de RRT Social (%)
</t>
    </r>
    <r>
      <rPr>
        <b/>
        <sz val="18"/>
        <rFont val="Calibri"/>
        <family val="2"/>
        <scheme val="minor"/>
      </rPr>
      <t>(CAU/UF)</t>
    </r>
  </si>
  <si>
    <t>RRT Social</t>
  </si>
  <si>
    <r>
      <t xml:space="preserve">Índice de receita por arquiteto e urbanista 
</t>
    </r>
    <r>
      <rPr>
        <b/>
        <sz val="18"/>
        <rFont val="Calibri"/>
        <family val="2"/>
        <scheme val="minor"/>
      </rPr>
      <t>(CAU/UF)</t>
    </r>
  </si>
  <si>
    <t>receita corrente</t>
  </si>
  <si>
    <t xml:space="preserve">Semestral 
</t>
  </si>
  <si>
    <r>
      <t xml:space="preserve">Relação receita/custo total de pessoal (%)
</t>
    </r>
    <r>
      <rPr>
        <b/>
        <sz val="18"/>
        <rFont val="Calibri"/>
        <family val="2"/>
        <scheme val="minor"/>
      </rPr>
      <t>(CAU/UF)</t>
    </r>
  </si>
  <si>
    <t>custo total de pessoal</t>
  </si>
  <si>
    <t xml:space="preserve">Semestral </t>
  </si>
  <si>
    <r>
      <t xml:space="preserve">Índice de liquidez corrente 
</t>
    </r>
    <r>
      <rPr>
        <b/>
        <sz val="18"/>
        <rFont val="Calibri"/>
        <family val="2"/>
        <scheme val="minor"/>
      </rPr>
      <t>(CAU/UF)</t>
    </r>
  </si>
  <si>
    <r>
      <t xml:space="preserve">Índice de inadimplência pessoa física (%)
</t>
    </r>
    <r>
      <rPr>
        <b/>
        <sz val="18"/>
        <rFont val="Calibri"/>
        <family val="2"/>
        <scheme val="minor"/>
      </rPr>
      <t>(CAU/UF)</t>
    </r>
  </si>
  <si>
    <t xml:space="preserve">total de profissionais ativos </t>
  </si>
  <si>
    <r>
      <t xml:space="preserve">Índice de inadimplência pessoa jurídica (%)
</t>
    </r>
    <r>
      <rPr>
        <b/>
        <sz val="18"/>
        <rFont val="Calibri"/>
        <family val="2"/>
        <scheme val="minor"/>
      </rPr>
      <t>(CAU/UF)</t>
    </r>
  </si>
  <si>
    <t xml:space="preserve">total de empresas ativas </t>
  </si>
  <si>
    <r>
      <t xml:space="preserve">Índice de mapeamento processos (%)
</t>
    </r>
    <r>
      <rPr>
        <b/>
        <sz val="18"/>
        <rFont val="Calibri"/>
        <family val="2"/>
        <scheme val="minor"/>
      </rPr>
      <t>(CAU/UF)</t>
    </r>
  </si>
  <si>
    <t>número de processos mapeados</t>
  </si>
  <si>
    <t xml:space="preserve">total de processos existentes </t>
  </si>
  <si>
    <r>
      <t xml:space="preserve">Índice de normatização de processos (%)
</t>
    </r>
    <r>
      <rPr>
        <b/>
        <sz val="18"/>
        <rFont val="Calibri"/>
        <family val="2"/>
        <scheme val="minor"/>
      </rPr>
      <t>(CAU/UF)</t>
    </r>
  </si>
  <si>
    <t>número de processos normatizados</t>
  </si>
  <si>
    <t>total de processos existentes</t>
  </si>
  <si>
    <r>
      <t xml:space="preserve">Índice de automação de processos (%)
</t>
    </r>
    <r>
      <rPr>
        <b/>
        <sz val="18"/>
        <rFont val="Calibri"/>
        <family val="2"/>
        <scheme val="minor"/>
      </rPr>
      <t>(CAU/UF)</t>
    </r>
  </si>
  <si>
    <t>número de processos automatizados</t>
  </si>
  <si>
    <r>
      <t xml:space="preserve">Média de horas de treinamento por colaboradores e dirigentes
</t>
    </r>
    <r>
      <rPr>
        <b/>
        <sz val="18"/>
        <rFont val="Calibri"/>
        <family val="2"/>
        <scheme val="minor"/>
      </rPr>
      <t>(CAU/UF)</t>
    </r>
  </si>
  <si>
    <t>Número de ações executadas</t>
  </si>
  <si>
    <t xml:space="preserve">quantidade de ações executadas voltadas à cultura organizacional e estratégia                                                                                                                  </t>
  </si>
  <si>
    <t>Índice de cumprimento das metas do Plano de Ação (%)</t>
  </si>
  <si>
    <r>
      <t>total de iniciativas executadas</t>
    </r>
    <r>
      <rPr>
        <b/>
        <sz val="18"/>
        <rFont val="Calibri"/>
        <family val="2"/>
        <scheme val="minor"/>
      </rPr>
      <t xml:space="preserve">                                                                       </t>
    </r>
  </si>
  <si>
    <r>
      <t>total de iniciativas planejadas</t>
    </r>
    <r>
      <rPr>
        <b/>
        <sz val="18"/>
        <rFont val="Calibri"/>
        <family val="2"/>
        <scheme val="minor"/>
      </rPr>
      <t xml:space="preserve">                                                                                  </t>
    </r>
  </si>
  <si>
    <r>
      <t xml:space="preserve">Índice de satisfação interna com a tecnologia utilizada (%)
</t>
    </r>
    <r>
      <rPr>
        <b/>
        <sz val="18"/>
        <rFont val="Calibri"/>
        <family val="2"/>
        <scheme val="minor"/>
      </rPr>
      <t>(CAU/UF)</t>
    </r>
  </si>
  <si>
    <r>
      <t xml:space="preserve">Índice de satisfação externa com a tecnologia utilizada (%)
</t>
    </r>
    <r>
      <rPr>
        <b/>
        <sz val="18"/>
        <rFont val="Calibri"/>
        <family val="2"/>
        <scheme val="minor"/>
      </rPr>
      <t>(CAU/UF)</t>
    </r>
  </si>
  <si>
    <t>Meta
Reprogramação
2021</t>
  </si>
  <si>
    <t>Meta
Programação
2021</t>
  </si>
  <si>
    <t>Programação 2021 
(A)</t>
  </si>
  <si>
    <t>Reprogramação 2021</t>
  </si>
  <si>
    <t>Execução Jan/Maio
 (B)</t>
  </si>
  <si>
    <t>Projetado Jun/Dez
 (C )</t>
  </si>
  <si>
    <t>Reprogramação 2021
 (D)</t>
  </si>
  <si>
    <t>Orientação: As células sinalizadas, em cinza, são fórmulas e não devem ser modificadas. Verificar os comentários colocando o cursor na célula correspondente, no cabeçalho. Caso seja necessário aumentar o número de linhas, favor verificar a continuidade das fórmulas. O enquadramento aos Objetivos de Desenvolvimento Sustentável (ODS) é facultativo.</t>
  </si>
  <si>
    <t xml:space="preserve">Variação (2021/2021) </t>
  </si>
  <si>
    <t>PLANO DE AÇÃO - REPROGRAMAÇÃO  2021</t>
  </si>
  <si>
    <t>Anexo 1 - Demonstrativo de Usos e Fontes - Reprogramação 2021</t>
  </si>
  <si>
    <t>Programação 2021
 (A)</t>
  </si>
  <si>
    <t>Proposta Reprogramação 2021 (D=B+C)</t>
  </si>
  <si>
    <t>Projetado
Jun/Dez  (C)</t>
  </si>
  <si>
    <t>Execução 
Jan/Maio (B)</t>
  </si>
  <si>
    <t>1.1.1.1.1 Anuidade do Exercício 2021</t>
  </si>
  <si>
    <t>1.1.1.2.1 Anuidade do Exercício 2021</t>
  </si>
  <si>
    <t>II. APLICAÇÕES</t>
  </si>
  <si>
    <t>RESUMO DA REPROGRAMAÇÃO  ORDINÁRIA 2021 - POR CATEGORIA ECONÔMICA</t>
  </si>
  <si>
    <t>Programação 
2021 
(A)</t>
  </si>
  <si>
    <t>Reprogramação 
2021
(B)</t>
  </si>
  <si>
    <t>Programação 
2021
(D)</t>
  </si>
  <si>
    <t>Reprogramação 
2021
(E)</t>
  </si>
  <si>
    <t>COMENTÁRIOS/JUSTIFICATIVAS:</t>
  </si>
  <si>
    <t xml:space="preserve">Superávit Financeiro </t>
  </si>
  <si>
    <t>I - Superávit financeiro Acumulado  em 2020</t>
  </si>
  <si>
    <t>III a- Percentual de utilização para PE</t>
  </si>
  <si>
    <t>Deliberação que aprova PE</t>
  </si>
  <si>
    <t>Programação
 2021</t>
  </si>
  <si>
    <t>Reprogramação
 2021</t>
  </si>
  <si>
    <t>Anexo 2 - Limites de Aplicação dos Recursos Estratégicos - Reprogramação Ordinária de 2021</t>
  </si>
  <si>
    <t xml:space="preserve">1. Receita de Arrecadação Total </t>
  </si>
  <si>
    <t>COMENTÁRIOS/JUSTIFICATIVAS, quando da flexibilização da aplicação de recursos mínimos e máximos dos limites estratégicos  do Plano de Ação e Orçamento de 2021</t>
  </si>
  <si>
    <t>OBS 1:  Vedada a inobservância de aplicação do percentual mínimo de 15% (quinze por cento) da Receita de Arrecadação Líquida (RAL) nas atividades de Fiscalização e do percentual máximo de 55% da Receita Corrente com as Despesas com Pessoal.</t>
  </si>
  <si>
    <t>OBS 2: Os órgãos deliberativos dos CAU/UF poderão, mediante as justificativas próprias, flexibilizar a aplicação de recursos mínimos e máximos na Reprogramação do Plano de Ação e Orçamento de 2021."</t>
  </si>
  <si>
    <r>
      <t xml:space="preserve">Fiscalização
</t>
    </r>
    <r>
      <rPr>
        <b/>
        <sz val="14"/>
        <color rgb="FF008080"/>
        <rFont val="Calibri"/>
        <family val="2"/>
      </rPr>
      <t xml:space="preserve">(mínimo de 15 % do total da RAL) </t>
    </r>
    <r>
      <rPr>
        <b/>
        <sz val="14"/>
        <color rgb="FF009999"/>
        <rFont val="Calibri"/>
        <family val="2"/>
      </rPr>
      <t xml:space="preserve">   </t>
    </r>
    <r>
      <rPr>
        <b/>
        <sz val="14"/>
        <color indexed="8"/>
        <rFont val="Calibri"/>
        <family val="2"/>
      </rPr>
      <t xml:space="preserve">                                                                     </t>
    </r>
  </si>
  <si>
    <r>
      <t xml:space="preserve">Atendimento
</t>
    </r>
    <r>
      <rPr>
        <b/>
        <sz val="14"/>
        <color rgb="FF008080"/>
        <rFont val="Calibri"/>
        <family val="2"/>
      </rPr>
      <t>(mínimo de 10 % do total da RAL)</t>
    </r>
  </si>
  <si>
    <r>
      <t xml:space="preserve">Comunicação
</t>
    </r>
    <r>
      <rPr>
        <b/>
        <sz val="14"/>
        <color rgb="FF008080"/>
        <rFont val="Calibri"/>
        <family val="2"/>
      </rPr>
      <t>(mínimo de 3% do total da RAL)</t>
    </r>
    <r>
      <rPr>
        <b/>
        <sz val="14"/>
        <color indexed="21"/>
        <rFont val="Calibri"/>
        <family val="2"/>
      </rPr>
      <t xml:space="preserve">             </t>
    </r>
    <r>
      <rPr>
        <b/>
        <sz val="14"/>
        <color indexed="57"/>
        <rFont val="Calibri"/>
        <family val="2"/>
      </rPr>
      <t xml:space="preserve">                                                                                </t>
    </r>
  </si>
  <si>
    <r>
      <t xml:space="preserve">Patrocínio
</t>
    </r>
    <r>
      <rPr>
        <b/>
        <sz val="14"/>
        <color rgb="FF008080"/>
        <rFont val="Calibri"/>
        <family val="2"/>
      </rPr>
      <t xml:space="preserve">(máximo de 5% do total da RAL) </t>
    </r>
    <r>
      <rPr>
        <b/>
        <sz val="14"/>
        <color indexed="21"/>
        <rFont val="Calibri"/>
        <family val="2"/>
      </rPr>
      <t xml:space="preserve">  </t>
    </r>
    <r>
      <rPr>
        <b/>
        <sz val="14"/>
        <color indexed="10"/>
        <rFont val="Calibri"/>
        <family val="2"/>
      </rPr>
      <t xml:space="preserve">      </t>
    </r>
    <r>
      <rPr>
        <b/>
        <sz val="14"/>
        <color indexed="8"/>
        <rFont val="Calibri"/>
        <family val="2"/>
      </rPr>
      <t xml:space="preserve">                                                                            </t>
    </r>
  </si>
  <si>
    <r>
      <t xml:space="preserve">Objetivos Estratégicos Locais             </t>
    </r>
    <r>
      <rPr>
        <b/>
        <sz val="14"/>
        <color indexed="21"/>
        <rFont val="Calibri"/>
        <family val="2"/>
      </rPr>
      <t xml:space="preserve"> </t>
    </r>
    <r>
      <rPr>
        <b/>
        <sz val="14"/>
        <color rgb="FFFF0000"/>
        <rFont val="Calibri"/>
        <family val="2"/>
      </rPr>
      <t xml:space="preserve"> </t>
    </r>
    <r>
      <rPr>
        <b/>
        <sz val="14"/>
        <color rgb="FF008080"/>
        <rFont val="Calibri"/>
        <family val="2"/>
      </rPr>
      <t xml:space="preserve">(mínimo de 6 % do total da RAL)      </t>
    </r>
    <r>
      <rPr>
        <b/>
        <sz val="14"/>
        <color indexed="21"/>
        <rFont val="Calibri"/>
        <family val="2"/>
      </rPr>
      <t xml:space="preserve">                   </t>
    </r>
  </si>
  <si>
    <r>
      <t xml:space="preserve">Assistência Técnica                            </t>
    </r>
    <r>
      <rPr>
        <b/>
        <sz val="14"/>
        <color rgb="FF008080"/>
        <rFont val="Calibri"/>
        <family val="2"/>
        <scheme val="minor"/>
      </rPr>
      <t xml:space="preserve">(mínimo de 2% do total da RAL)  </t>
    </r>
    <r>
      <rPr>
        <b/>
        <sz val="14"/>
        <color theme="1"/>
        <rFont val="Calibri"/>
        <family val="2"/>
        <scheme val="minor"/>
      </rPr>
      <t xml:space="preserve">  </t>
    </r>
  </si>
  <si>
    <r>
      <t xml:space="preserve">Reserva de Contingência                          </t>
    </r>
    <r>
      <rPr>
        <b/>
        <sz val="14"/>
        <color rgb="FF008080"/>
        <rFont val="Calibri"/>
        <family val="2"/>
      </rPr>
      <t xml:space="preserve">(até 2 % do total da RAL)  </t>
    </r>
    <r>
      <rPr>
        <b/>
        <sz val="14"/>
        <color indexed="21"/>
        <rFont val="Calibri"/>
        <family val="2"/>
      </rPr>
      <t xml:space="preserve">            </t>
    </r>
  </si>
  <si>
    <r>
      <t xml:space="preserve"> Despesas com Pessoal 
</t>
    </r>
    <r>
      <rPr>
        <b/>
        <sz val="14"/>
        <color rgb="FF008080"/>
        <rFont val="Calibri"/>
        <family val="2"/>
        <scheme val="minor"/>
      </rPr>
      <t>(máximo de 55% sobre as Receitas Correntes)</t>
    </r>
  </si>
  <si>
    <r>
      <t xml:space="preserve">Capacitação
</t>
    </r>
    <r>
      <rPr>
        <b/>
        <sz val="14"/>
        <color rgb="FF008080"/>
        <rFont val="Calibri"/>
        <family val="2"/>
        <scheme val="minor"/>
      </rPr>
      <t>(mínimo de 2% e máximo de 4% da Folha de Pagamento)</t>
    </r>
    <r>
      <rPr>
        <b/>
        <sz val="14"/>
        <color rgb="FF008080"/>
        <rFont val="Calibri"/>
        <family val="2"/>
      </rPr>
      <t xml:space="preserve">     </t>
    </r>
    <r>
      <rPr>
        <b/>
        <sz val="14"/>
        <color indexed="57"/>
        <rFont val="Calibri"/>
        <family val="2"/>
      </rPr>
      <t xml:space="preserve">         </t>
    </r>
  </si>
  <si>
    <t>Orientação:  As células sinalizadas, em cinza, são fórmulas e não devem ser modificadas.</t>
  </si>
  <si>
    <t xml:space="preserve">Reserva de 
Contingência </t>
  </si>
  <si>
    <r>
      <t>Os itens de custo devem ser:
•</t>
    </r>
    <r>
      <rPr>
        <b/>
        <sz val="20"/>
        <color theme="1"/>
        <rFont val="Arial"/>
        <family val="2"/>
      </rPr>
      <t xml:space="preserve"> Pessoal (Salários, Encargos e Benefícios) </t>
    </r>
    <r>
      <rPr>
        <sz val="20"/>
        <color theme="1"/>
        <rFont val="Arial"/>
        <family val="2"/>
      </rPr>
      <t xml:space="preserve">
a) Pessoal e Encargos:  compreende salários; gratificações; 13º salário; férias; 1/3 férias, abono e horas extras; INSS; FGTS e PIS; vale transporte, auxílio alimentação, plano de saúde e outros benefícios.
b) Diárias – compreende diárias de funcionários com vínculo empregatício com o Conselho.
</t>
    </r>
    <r>
      <rPr>
        <b/>
        <sz val="20"/>
        <color theme="1"/>
        <rFont val="Arial"/>
        <family val="2"/>
      </rPr>
      <t>• Material de Consumo</t>
    </r>
    <r>
      <rPr>
        <sz val="20"/>
        <color theme="1"/>
        <rFont val="Arial"/>
        <family val="2"/>
      </rPr>
      <t xml:space="preserve"> – compreende material de expediente; informática; e outros materiais de consumo que não sejam classificados como material permanente. 
</t>
    </r>
    <r>
      <rPr>
        <b/>
        <sz val="20"/>
        <color theme="1"/>
        <rFont val="Arial"/>
        <family val="2"/>
      </rPr>
      <t xml:space="preserve">• Serviços de Terceiros: </t>
    </r>
    <r>
      <rPr>
        <sz val="20"/>
        <color theme="1"/>
        <rFont val="Arial"/>
        <family val="2"/>
      </rPr>
      <t xml:space="preserve">
a) Diárias – compreende diárias do presidente, de conselheiros e de convidados.
b) Passagens – compreende passagens de funcionários, presidente, conselheiros, e convidados.
c) Serviços Prestados (PF e PJ) – compreende todo serviço prestado por pessoa jurídica como: consultorias; serviços de comunicação e divulgação; manutenção de sistemas informatizados; locação de bens móveis e imóveis, condomínios, reparos e conservação de bens móveis e imóveis; serviços de água e energia elétrica; correios; telecomunicações e outras despesas correntes não classificáveis nos itens anteriores e  remunerações de serviços prestados por pessoa física; remuneração de estagiários, e remuneração de menores aprendizes.
</t>
    </r>
    <r>
      <rPr>
        <b/>
        <sz val="20"/>
        <color theme="1"/>
        <rFont val="Arial"/>
        <family val="2"/>
      </rPr>
      <t>. Transferências Correntes</t>
    </r>
    <r>
      <rPr>
        <sz val="20"/>
        <color theme="1"/>
        <rFont val="Arial"/>
        <family val="2"/>
      </rPr>
      <t xml:space="preserve">: compreende os repasses ao Fundo de Apoio; os repasses ao Centro de Serviço Compartilhado - CSC; convênios, acordos, ajuda as entidades e patrocínios.
</t>
    </r>
    <r>
      <rPr>
        <b/>
        <sz val="20"/>
        <color theme="1"/>
        <rFont val="Arial"/>
        <family val="2"/>
      </rPr>
      <t xml:space="preserve">. Reserva de Contingência: </t>
    </r>
    <r>
      <rPr>
        <sz val="20"/>
        <color theme="1"/>
        <rFont val="Arial"/>
        <family val="2"/>
      </rPr>
      <t xml:space="preserve">compreende as despesas não previstas no plano de ação.
</t>
    </r>
    <r>
      <rPr>
        <b/>
        <sz val="20"/>
        <color theme="1"/>
        <rFont val="Arial"/>
        <family val="2"/>
      </rPr>
      <t>. Encargos Diversos –</t>
    </r>
    <r>
      <rPr>
        <sz val="20"/>
        <color theme="1"/>
        <rFont val="Arial"/>
        <family val="2"/>
      </rPr>
      <t xml:space="preserve"> compreende as taxas bancárias; impostos e taxas diversas; despesas judiciais; e outros encargos.
</t>
    </r>
    <r>
      <rPr>
        <b/>
        <sz val="20"/>
        <color theme="1"/>
        <rFont val="Arial"/>
        <family val="2"/>
      </rPr>
      <t xml:space="preserve">. Imobilizado </t>
    </r>
    <r>
      <rPr>
        <sz val="20"/>
        <color theme="1"/>
        <rFont val="Arial"/>
        <family val="2"/>
      </rPr>
      <t xml:space="preserve">– compreende os investimentos como: aquisição de equipamentos e materiais permanentes; aquisição de imóveis; e outros investimentos.
</t>
    </r>
  </si>
  <si>
    <t>Anexo 3- Aplicações por Projeto/Atividade - por Elemento de Despesa (Consolidado) - Reprogramação 2021</t>
  </si>
  <si>
    <t>Ação</t>
  </si>
  <si>
    <t>Custo da Ação</t>
  </si>
  <si>
    <t>Orientações de Preenchimento do Anexo 4.Descritivo</t>
  </si>
  <si>
    <r>
      <t xml:space="preserve">OBS: As ações estratégias são específicas de cada objetivo estratégico. A opção </t>
    </r>
    <r>
      <rPr>
        <b/>
        <sz val="22"/>
        <color theme="1"/>
        <rFont val="Calibri"/>
        <family val="2"/>
        <scheme val="minor"/>
      </rPr>
      <t>"Não se aplica</t>
    </r>
    <r>
      <rPr>
        <sz val="22"/>
        <color theme="1"/>
        <rFont val="Calibri"/>
        <family val="2"/>
        <scheme val="minor"/>
      </rPr>
      <t>" deve ser utilizada quando a ação  descrita não faz parte do rol das "</t>
    </r>
    <r>
      <rPr>
        <b/>
        <sz val="22"/>
        <color theme="1"/>
        <rFont val="Calibri"/>
        <family val="2"/>
        <scheme val="minor"/>
      </rPr>
      <t>Ações Estratégicas Prioritárias</t>
    </r>
    <r>
      <rPr>
        <sz val="22"/>
        <color theme="1"/>
        <rFont val="Calibri"/>
        <family val="2"/>
        <scheme val="minor"/>
      </rPr>
      <t xml:space="preserve">". </t>
    </r>
  </si>
  <si>
    <t>Autoatendimento</t>
  </si>
  <si>
    <t>Realização de ações direcionadoras e facilitadoras do autoatendimento (tutoriais, manuais)</t>
  </si>
  <si>
    <t>Ações de comunicação realizadas a partir de inserções em mídias impressas (anúncios, editoriais, etc.) e redes sociais (facebook, Instagram, etc.)., tratando de temas relevantes para a realidade de cada UF.</t>
  </si>
  <si>
    <t>Aplicação de recursos para viabilizar a realização de Seminários, Mostras de Arquitetura, Cursos, Oficinas, etc., a serem firmados tanto com Entidades de Arquitetos quanto com Entidades Mistas.</t>
  </si>
  <si>
    <t xml:space="preserve">5) O valor do "Executado 2021": retirar do SISCONT. NET, no caminho "Centro de Custos&gt; Relatórios&gt; Demonstrativo de empenhos/pagamentos"; período de  01/01/2021 até 31/05/2021; na coluna "LIQUIDAÇÕES". </t>
  </si>
  <si>
    <t>7) Vedada a inobservância de aplicação do percentual mínimo de 15% (quinze por cento) da Receita de Arrecadação Líquida (RAL) nas atividades de Fiscalização e do percentual máximo de 55% da Receita Corrente com as Despesas com Pessoal. (Anexo 2)</t>
  </si>
  <si>
    <t>8) Os órgãos deliberativos dos CAU/UF poderão, mediante as justificativas próprias, flexibilizar a aplicação de recursos mínimos e máximos na Reprogramação do Plano de Ação e Orçamento de 2021. (Anexo 2)</t>
  </si>
  <si>
    <t>9) Preencher o anexo 4  apenas para os projetos/atividades novos e/ou que tiveram alterações/ajustes .</t>
  </si>
  <si>
    <t>Anexo 4 - Quadro Descritivo de Ações e Metas do Plano de Ação - Reprogramação 2021</t>
  </si>
  <si>
    <t>Programação 
2021
(A)</t>
  </si>
  <si>
    <t>Reprogramação ordinária 2021</t>
  </si>
  <si>
    <t>Execução 
01 Jan a 31 Maio (B)</t>
  </si>
  <si>
    <t>Projetado 
01 Jun a 31 Dez (C )</t>
  </si>
  <si>
    <t>Variação%
(E=D/A)</t>
  </si>
  <si>
    <t>A custear com Recursos do Fundo de Apoio (R$) 
(F)</t>
  </si>
  <si>
    <t>% Utilização do 
Fundo de Apoio 
(G=F/D)</t>
  </si>
  <si>
    <r>
      <t>1. Denominação do Projeto ou Atividade : Nome da iniciativa estratégica de acordo com o Quadro Geral.
2. Metas Físicas: bem ou serviço qualificado e quantificado resultante da execução da ação. Para efeito de padronização, as metas são organizadas em dois conjuntos
a) Meta da ação: consiste no quantitativo da ação. 
b) Descrição das ações: descrevem as iniciativas especificas que devem ser executadas dentro de um projeto ou de uma atividade para produzir os resultados estabelecidos. A ação deve transmitir com clareza a sua finalidade, conteúdo e forma de implementação (o que vai ser feito, por que será feito, onde será feito, quando será feito, como vai ser feito e com que finalidade, por quem será feito e quanto vai custar). Exemplo: Realização de cursos de capacitação no SICCAU. 
c) Ações Estratégicas Prioritárias: selecionar as ações que melhor se enquadram com o objetivo geral. A opção "Não se aplica" deve ser utilizada quando a ação descrita não faz parte do rol das "Ações Estratégicas Prioritárias". As ações selecionadas devem respeitar as  correlações com os objetivos estratégicos, conforme detalhamento na aba "Ações Estratégicas-Descrição".
3. Programação 2021: Considerar os valores aprovados vigentes na Programação do Plano de Ação 2021, de acordo com o quadro geral.
4. Reprogramação 2021: Considerar os valores executados até a data de corte com os valores projetados, de acordo com o quadro geral.
5. A custear com Recursos do Fundo de Apoio: Informar se o projeto ou atividade será financiada por recursos oriundos do fundo de apoio dos CAU/UF, apenas para os CAU/Básicos. Atenção: Cabe salientar que os CAU Básico, na elaboração de sua Reprogramação para 2021, deverão observar com maior rigor todos os procedimentos e estratégias estabelecidas nas Diretrizes e na</t>
    </r>
    <r>
      <rPr>
        <sz val="20"/>
        <color rgb="FFFF0000"/>
        <rFont val="Calibri"/>
        <family val="2"/>
        <scheme val="minor"/>
      </rPr>
      <t xml:space="preserve"> Resolução nº 119, valendo ressaltar “Art. 6° Os recursos provenientes do Fundo de Apoio deverão ser utilizados em estrita conformidade com o Plano de Ação aprovado, sendo vedada a sua utilização para despesas de capital”. Vale ressaltar também  que a participação nas reuniões plenárias ampliadas e o valor do CSC devem ser custeados pelo Fundo de Apoio.</t>
    </r>
    <r>
      <rPr>
        <sz val="20"/>
        <rFont val="Calibri"/>
        <family val="2"/>
        <scheme val="minor"/>
      </rPr>
      <t xml:space="preserve">
6. % Utilização do Fundo de Apoio: representatividade da utilização do fundo para custear a ação.</t>
    </r>
  </si>
  <si>
    <t>6) O valor das "Receitas realizadas 2021": retirar do SISCONT. NET, no caminho:  "Contabilidade&gt; Relatórios-&gt;Consolidado&gt;comparativo da receita"; período de 01/01/2021 até 31/05/2021; na coluna "Arrec.Período"</t>
  </si>
  <si>
    <t>1) O valor da Programação 2021 deve ser igual ao valor APROVADO no Plano de Ação 2021 , ou seja, sem transposição. O CAU/PB e o CAU/PR deverão usar os dados da reprogramação extraordinária 2021.</t>
  </si>
  <si>
    <t>Obs.: Os Indicadores devem ser vinculados aos objetivos estratégicos priorizados no Mapa Estratégico do CAU/UF, ou seja, os indicadores dos objetivos estratégicos escolhidos no Mapa Estratégico devem ser mensurados. (ALERTA: Os indicadores foram validados no Seminário de Planejamento realizado em Fev/2020).</t>
  </si>
  <si>
    <t>P</t>
  </si>
  <si>
    <t>A</t>
  </si>
  <si>
    <t>PE</t>
  </si>
  <si>
    <t>AT</t>
  </si>
  <si>
    <t>N</t>
  </si>
  <si>
    <t>R</t>
  </si>
  <si>
    <t>E</t>
  </si>
  <si>
    <t>C</t>
  </si>
  <si>
    <t>X</t>
  </si>
  <si>
    <t>Projetos Específicos- DPOBR Nº 0097-08.A/2019 (Substituída pela Resolução  n. 200/2020)</t>
  </si>
  <si>
    <t>Projetos Específicos- DPOBR Nº 0084-03/2018 (Substituída pela Resolução  n. 200/2020)</t>
  </si>
  <si>
    <t>Presidência</t>
  </si>
  <si>
    <t>Gerência Geral</t>
  </si>
  <si>
    <t>Gerência Técnica</t>
  </si>
  <si>
    <t>Comissão de Ética, ensino e exercício profissional</t>
  </si>
  <si>
    <t>Comissão de finanças, atos administrativos e planejamento estratégico do CAU/PI</t>
  </si>
  <si>
    <t xml:space="preserve">Comissão de política profissional e política urbana e ambiental </t>
  </si>
  <si>
    <t>Contribuição ao fundo nacional de apoio aos CAU/Ufs</t>
  </si>
  <si>
    <t>Contribuição com as despesas do CSC-atendimento</t>
  </si>
  <si>
    <t>Contribuição com as despesas do CSC-fiscalização</t>
  </si>
  <si>
    <t>Reserva de contingência</t>
  </si>
  <si>
    <t>Estrutura básica para o funcionamento do conselho</t>
  </si>
  <si>
    <t>Atendimento de excelência no CAU/PI</t>
  </si>
  <si>
    <t>Instituição da fiscalização no CAU/PI</t>
  </si>
  <si>
    <t>Comunicação do CAU/PI</t>
  </si>
  <si>
    <t>Patrocínio em Arquitetura</t>
  </si>
  <si>
    <t>Capacitação de funcionários e dirigentes do CAU/PI</t>
  </si>
  <si>
    <t>Por uma ética profissional no CAU/PI</t>
  </si>
  <si>
    <t>Administração e planejamento do CAU/PI</t>
  </si>
  <si>
    <t>Representação institucional do CAU/PI</t>
  </si>
  <si>
    <t>Assistência Técnica</t>
  </si>
  <si>
    <t>Viabilizar a operação dos CAU/UF, enquadrados como CAU Básico, em prol do desenvolvimento e fortalecimento da profissão e da arquitetura e urbanismo.</t>
  </si>
  <si>
    <t>Gerir e manter a evolução e despesas relativas ao CSC-CAU- Resolução CAU/BR Nº 126/2020</t>
  </si>
  <si>
    <t>Manter uma reserva para emergências não contempladas pelo planejamento</t>
  </si>
  <si>
    <t>Manter o funcionamento do CAU/PI</t>
  </si>
  <si>
    <t>Manter o atendimento do CAU/PI em um patamar de excelência</t>
  </si>
  <si>
    <t>Implementar a fiscalização do CAU/PI</t>
  </si>
  <si>
    <t>Implementar a comunicação do CAU/PI</t>
  </si>
  <si>
    <t>Intensificar o relacionamento da sociedade com o Conselho</t>
  </si>
  <si>
    <t>Capacitar o quadro funcional e os dirigentes do CAU/PI</t>
  </si>
  <si>
    <t>Divulgar e implementar a ética profissional do CAU/PI</t>
  </si>
  <si>
    <t>Organizar os processos administrativos e financeiros visando uma gestão transparente</t>
  </si>
  <si>
    <t>Inserir a cultura da Arquitetura e Urbanismo, visando melhorar a qualidade arquitetônica e urbana das cidades através de ações em parceria</t>
  </si>
  <si>
    <t>Incrementar a atuação da profissão junto às classes menos favorecidas</t>
  </si>
  <si>
    <t>Manter o equilíbrio entre as receitas e as despesas dos CAU/UF Básicos</t>
  </si>
  <si>
    <t>Assegurar a evolução e despesas relativas ao CSC-CAU- Resolução CAU/BR Nº 126/2020</t>
  </si>
  <si>
    <t>Atender às demandas inesperadas sem impactar o equilíbrio financeiro do Conselho</t>
  </si>
  <si>
    <t>Garantir totalmente o bom funcionamento do CAU/PI</t>
  </si>
  <si>
    <t>Garantir o atendimento de excelência no CAU/PI</t>
  </si>
  <si>
    <t>Garantir uma fiscalização  de excelência no Estado do Piauí</t>
  </si>
  <si>
    <t>Garantir excelente comunicação entre Conselho e sociedade</t>
  </si>
  <si>
    <t>Patrocinar eventos relacionados a Arquitetura e urbanismo fortalecendo a categoria e o relacionamento com a sociedade</t>
  </si>
  <si>
    <t>Ter funcionário e dirigentes qualificados garantindo o bom andamento das atividades do CAU/PI</t>
  </si>
  <si>
    <t>Contribuir positivamente para o exercício ético da profissão</t>
  </si>
  <si>
    <t>Contribuir positivamente com a  administração e organização do CAU/PI</t>
  </si>
  <si>
    <t>Contribuir positivamente na difusão da Arquitetura e urbanismo em todo Estado</t>
  </si>
  <si>
    <t>Garantir o incremento da atuação da profissão junto às classes menos favorecidas</t>
  </si>
  <si>
    <t>Aluguel da sede do CAU/PI.</t>
  </si>
  <si>
    <t>Internet: Despesa com contrato de prestação de serviços de Internet VIVO.</t>
  </si>
  <si>
    <t>Remuneração de empresa de serviços gerais. Contrtato de 01(um) funcionário de serviço de copa/limpeza da sede do CAU/PI.</t>
  </si>
  <si>
    <t>Contratação de empresa de instalação de software de Sistema de Pessoal. Despesas com a manutenção do Sistema de Pessoal que faz a folha de pagamento, encargos, declarações anuais e demais obrigações de pessoal.</t>
  </si>
  <si>
    <t>Despesas bancárias.</t>
  </si>
  <si>
    <t>Despesas Judiciais.</t>
  </si>
  <si>
    <t>Contratação de empresa da Saúde e segurança do trabalho. Contratar 01 profissional/empresa de saúde e segurança do trabalho para elaborar o PCMSO E PPRA para o exercício de 2020.</t>
  </si>
  <si>
    <t>Auxílio alimentação. Realizar o pagamento do auxilio alimentação concedido pelo CAU/PI aos funcionários durante 1 ano (01 Analista de Planejamento, 01 Analista Contador, 01 Gerente Geral e 01 Advogado).</t>
  </si>
  <si>
    <t>Divulgação na imprensa Nacional</t>
  </si>
  <si>
    <t>Limpeza e manutenção de ar condicionados. Realizar contratação de serviços de limpeza e manutenção necessárias para 09 ar-condicionados do CAU/PI.</t>
  </si>
  <si>
    <t>Dedetização e descupinização da Sede do CAU/PI</t>
  </si>
  <si>
    <t>Contratação de serviços de assistência e suporte técnico para os equipamentos de informática do CAU/PI.</t>
  </si>
  <si>
    <t>Remuneração de empresa de segurança predial e preventiva. 01 (uma) empresa de segurança para realizar o monitoramento da cerca elétrica, alarme, sensores e câmeras por um período de 1 ano.</t>
  </si>
  <si>
    <t>Recarga dos extintores de incêndio da sede do CAU/PI: 04 extintores.</t>
  </si>
  <si>
    <t>Serviço de Intermediação estagiários (CIEE).</t>
  </si>
  <si>
    <t>Contratação de 01 (um) estagiário de nível superior (Direito).</t>
  </si>
  <si>
    <t xml:space="preserve">Indenizações e restituições - Ressarcimento </t>
  </si>
  <si>
    <t>Auxílio alimentação. Realizar o pagamento do auxilio alimentação concedido pelo CAU/PI aos funcionários durante 1 ano (01 Supervisora de Atendimento e 01 Gertente Técnica).</t>
  </si>
  <si>
    <t>Vale Transporte</t>
  </si>
  <si>
    <t>Contratação de 02 (dois) estagiários de nível superior (Administração/Secretariado).</t>
  </si>
  <si>
    <t>Locação e manutenção de impressora para o setor de Atendimento do CAU/PI</t>
  </si>
  <si>
    <t>Realização do Observatório CAU/PI</t>
  </si>
  <si>
    <t>Remuneração dos funcionários da fiscalização do CAU/PI. 03 funcionários remunerados por um período de 1 ano (02 Analista Fiscal e 1 Assistente de Fiscalização).</t>
  </si>
  <si>
    <t>Auxílio alimentação. Realizar o pagamento do auxilio alimentação concedido pelo CAU/PI aos funcionários durante 1 ano (02 Analista Fiscal e 1 Assistente de Fiscalização).</t>
  </si>
  <si>
    <t>Efetuar o pagamento das despesas com a empresa de Correios e telégrafos</t>
  </si>
  <si>
    <t>Fiscalização itinerante e Averiguação de denúncias no interior do estado do Piauí. DIÁRIAS.</t>
  </si>
  <si>
    <t>Capacitação dos funcionários de fiscalização do CAU/PI por meio de seminários do CAU/BR e/ou CAU/Ufs. DIÁRIAS.</t>
  </si>
  <si>
    <t>Capacitação dos funcionários de fiscalização do CAU/PI por meio de seminários do CAU/BR e/ou CAU/Ufs. PASSAGENS.</t>
  </si>
  <si>
    <t>Ressarcimento</t>
  </si>
  <si>
    <t>Remuneração dos funcionários da comunicação do CAU/PI. 02 funcionários remunerados por um período de 1 ano (01 Analista de Comunicação e 01 assessor técnico).</t>
  </si>
  <si>
    <t>Auxílio alimentação. Realizar o pagamento do auxilio alimentação concedido pelo CAU/PI aos funcionários durante 1 ano (01 Analista de Comunicação e 01 assessor técnico).</t>
  </si>
  <si>
    <t>Participação do assessor de comunicação em eventos do CAU/BR. DIÁRIAS.</t>
  </si>
  <si>
    <t>Participação do assessor de comunicação em eventos do CAU/BR. PASSAGENS.</t>
  </si>
  <si>
    <t>Aplicação de recursos para viabilizar a realização de Seminários, Mostras de Arquitetura, Cursos, Oficinas, etc., a serem firmados tanto com Entidades de Arquitetos como com Entidades Mistas.</t>
  </si>
  <si>
    <t>Capacitar funcionários do CAU/PI através de participação  em cursos oferecidos nas áreas correspondentes aos setores que formam a estrutura do Conselho.</t>
  </si>
  <si>
    <t>Realização das reuniões da CE-UF (Comissão Eleitoral). Treinamento em Brasília-DF.</t>
  </si>
  <si>
    <t>Participação dos membros da comissão de ética, ensino e exercício profissional como representantes do CAU/PI no Piauí ou em outros Estados. DIÁRIAS.</t>
  </si>
  <si>
    <t>Participação dos membros da comissão de ética, ensino e exercício profissional como representantes do CAU/PI no Piauí ou em outros Estados. PASSAGENS.</t>
  </si>
  <si>
    <t>Participação dos membros da comissão de finanças, atos administrativos e planejamento estratégico como representantes do CAU/PI no Piauí ou em outros Estados. DIÁRIAS.</t>
  </si>
  <si>
    <t>Participação dos membros da comissão de finanças, atos administrativos e planejamento estratégico como representantes do CAU/PI no Piauí ou em outros Estados. PASSAGENS.</t>
  </si>
  <si>
    <t>Participação de funcionários (exceto os da fiscalização e assistentes da comissão de ética),  em eventos realizados pelo CAU/BR E CAU/UFs. DIÁRIAS.</t>
  </si>
  <si>
    <t>Participação de funcionários (exceto os da fiscalização e assistentes da comissão de Ética),  em eventos realizados pelo CAU/BR E CAU/UFs. PASSAGENS.</t>
  </si>
  <si>
    <t>Participação do Presidente nas Plenárias Ampliadas. DIÁRIAS.</t>
  </si>
  <si>
    <t>Participação do Presidente nas Plenárias Ampliadas. PASSAGENS.</t>
  </si>
  <si>
    <t xml:space="preserve"> Diárias para Participação do Presidente , Vice - Presidente e convidados  em eventos dentro e fora do Estado. DIÁRIAS.</t>
  </si>
  <si>
    <t>Passagens para participação do Presidente do CAU/PI em eventos dentro e fora do Estado. PASSAGENS.</t>
  </si>
  <si>
    <t>Diárias para participação de conselheiros titulares ou suplentes que residem  no interior do Estado em plenárias na sede do CAU/PI</t>
  </si>
  <si>
    <t xml:space="preserve"> Diárias para participação dos membros  da Comissão  de Política Profissional  e/ou representantes em eventos dentro e fora do Estado</t>
  </si>
  <si>
    <t>Passagens para participação dos membros  da Comissão  de Política Profissional e/ou representantes em eventos dentro e fora do Estado</t>
  </si>
  <si>
    <t xml:space="preserve"> Diárias para participação dos membros  da Comissão  de Política  Urbana e Ambiental e/ou representantes em eventos dentro e fora do Estado</t>
  </si>
  <si>
    <t>Passagens para participação dos membros  da Comissão  de Política Urbana e Ambiental e/ou representantes em eventos dentro e fora do Estado</t>
  </si>
  <si>
    <t>Edital de implantação da ATHIS</t>
  </si>
  <si>
    <t xml:space="preserve">Confecção de material gráfico </t>
  </si>
  <si>
    <t>Contribuir mesnsalmente com o Fundo Nacional de Apoio aos CAU/Ufs conforme as Diretrizes 2020.</t>
  </si>
  <si>
    <t>Contribuir mesnsalmente com o CSC-Atendimento conforme as Diretrizes 2020 (10,8%).</t>
  </si>
  <si>
    <t>Reserva de Contingência</t>
  </si>
  <si>
    <t>Contribuir mesnsalmente com o CSC-Fiscalização conforme as Diretrizes 2020 (89,2%).</t>
  </si>
  <si>
    <t>ESTRUTURA BÁSICA PARA O FUNCIONAMENTO DO CONSELHO</t>
  </si>
  <si>
    <t>ATENDIMENTO DE EXCELÊNCIA NO CAU/PI</t>
  </si>
  <si>
    <t>INSTITUIÇÃO DA FISCALIZAÇÃO NO CAU/PI</t>
  </si>
  <si>
    <t>COMUNICAÇÃO DO CAU/PI</t>
  </si>
  <si>
    <t>PATROCÍNIO EM ARQUITETURA</t>
  </si>
  <si>
    <t>CAPACITAÇÃO DE FUNCIONÁRIOS E DIRIGENTES DO CAU/PI</t>
  </si>
  <si>
    <t>POR UMA ÉTICA PROFISSIONAL NO CAU/PI</t>
  </si>
  <si>
    <t>ADMINISTRAÇÃO E PLANEJAMENTO DO CAU/PI</t>
  </si>
  <si>
    <t>REPRESENTAÇÃO INSTITUCIONAL DO CAU/PI</t>
  </si>
  <si>
    <t>ASSISTÊNCIA TÉCNICA</t>
  </si>
  <si>
    <t>CONTRIBUIÇÃO AO FUNDO NACIONAL DE APOIO AOS CAU/Ufs</t>
  </si>
  <si>
    <t>CONTRIBUIÇÃO COM AS DESPESAS DO CSC-ATENDIMENTO</t>
  </si>
  <si>
    <t>CONTRIBUIÇÃO COM AS DESPESAS DO CSC-FISCALIZAÇÃO</t>
  </si>
  <si>
    <t>RESERVA DE CONTINGÊNCIA</t>
  </si>
  <si>
    <t>Contratação de serviços de reparo/pintura na sede do CAU/PI</t>
  </si>
  <si>
    <t>Despesas com água, luz e telefone fixo e móvel. Água: 1.800 / Cepisa: 10.600 / Telemar: 1.200 / VIVO Móvel: 13.000,00.</t>
  </si>
  <si>
    <t>Aquisição de Equipamentos e mesas (Ar condicionado, smartTV, Celulares, HD, entre outros)</t>
  </si>
  <si>
    <t>Elaboração do Termo de Referência para contratação de empresa de desenvolvimento de software</t>
  </si>
  <si>
    <t>Realização de reunião com os presidentes de CAU/UF para assiantura de Termo de Cooperação</t>
  </si>
  <si>
    <t>Manutenção dos Carros. Despesas com revisão (2.196) , taxas de licenciamento (250,24) e seguro dos veículos (2000+2000).</t>
  </si>
  <si>
    <t>Aquisição de 2.000 máscaras descartáveis</t>
  </si>
  <si>
    <t xml:space="preserve">CAU PI </t>
  </si>
  <si>
    <t>CAU BR</t>
  </si>
  <si>
    <t>Aumento na projeção CAU PI</t>
  </si>
  <si>
    <t>XXX</t>
  </si>
  <si>
    <t>R$ 198,49 Encontro de contas Diretrizes p. 63</t>
  </si>
  <si>
    <t>Chamada pública para credenciamento de motoristas profissionais</t>
  </si>
  <si>
    <t>Restauração da placa de identificação do Conselho</t>
  </si>
  <si>
    <t>Aquisição de equipamentos para sistema de segurança do CAU/PI (câmeras, DVR, módulo Ethernet)</t>
  </si>
  <si>
    <t>Galeria Ex Presidentes do CAU/PI</t>
  </si>
  <si>
    <t>Placas comemorativas 10 anos do CAU</t>
  </si>
  <si>
    <t>Contratação de 01 (um) estagiário de nível superior (Administração ou Contábeis).</t>
  </si>
  <si>
    <t>Serviço de Intermediação estagiários (CIEE) - Direito</t>
  </si>
  <si>
    <t>Serviço de Intermediação estagiários (CIEE) - Adm ou Contábeis</t>
  </si>
  <si>
    <t>Contratação de empresa de consultoria para elaboração de Plano de Cargos e Salários (PCS)</t>
  </si>
  <si>
    <t xml:space="preserve"> Detalhamento dos valores da célula L6: R$ 81.600,00 corresponde ao Auxílio Alimentação / R$ 3.000,00 corresponde a Vale Transporte.</t>
  </si>
  <si>
    <t>Edital de assessoria a Plano Diretor</t>
  </si>
  <si>
    <t>Remuneração dos funcionários do CAU/PI. 05 (cinco) funcionários remunerados por um período de 1 ano (1 Analista de Planejamento, 1 Analista Contador, 1 Gerente Geral, 1 Advogado e 1 Assessor Técnico).</t>
  </si>
  <si>
    <t>Aquisição de material de consumo. Descrição: Material de expediente (R$ 2.500 - 3148,58)  Material de limpeza (R$ 3.000 - 2459,34) e Material de informática (R$ 750)</t>
  </si>
  <si>
    <t>CAU/UF: PI</t>
  </si>
  <si>
    <t>Fundo de pronto pagamento CAU/PI (Suprimento de fundos). 02 suprimentos de R$ 600,00.</t>
  </si>
  <si>
    <t>Remuneração dos funcionários do atendimento do CAU/PI. 02 funcionários remunerados por um período de 1 ano (01 Supervisora de Atendimento e 01 Gertente Técnico).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</si>
</sst>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#,##0.0"/>
    <numFmt numFmtId="167" formatCode="0.0%"/>
    <numFmt numFmtId="168" formatCode="_-* #,##0_-;\-* #,##0_-;_-* &quot;-&quot;??_-;_-@_-"/>
    <numFmt numFmtId="169" formatCode="_(* #,##0_);_(* \(#,##0\);_(* &quot;-&quot;??_);_(@_)"/>
    <numFmt numFmtId="170" formatCode="_(* #,##0.0_);_(* \(#,##0.0\);_(* &quot;-&quot;??_);_(@_)"/>
    <numFmt numFmtId="171" formatCode="_-* #,##0.0_-;\-* #,##0.0_-;_-* &quot;-&quot;_-;_-@_-"/>
    <numFmt numFmtId="172" formatCode="_-* #,##0.00_-;\-* #,##0.00_-;_-* &quot;-&quot;_-;_-@_-"/>
  </numFmts>
  <fonts count="96" x14ac:knownFonts="1">
    <font>
      <sz val="11"/>
      <color theme="1"/>
      <name val="Calibri"/>
      <family val="2"/>
      <scheme val="minor"/>
    </font>
    <font>
      <sz val="12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 tint="-4.9989318521683403E-2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Arial Narrow"/>
      <family val="2"/>
    </font>
    <font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b/>
      <sz val="12"/>
      <color indexed="81"/>
      <name val="Tahoma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1"/>
      <color indexed="81"/>
      <name val="Tahoma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20"/>
      <color theme="1" tint="0.499984740745262"/>
      <name val="Calibri"/>
      <family val="2"/>
      <scheme val="minor"/>
    </font>
    <font>
      <sz val="10"/>
      <color rgb="FF000000"/>
      <name val="Calibri"/>
      <family val="2"/>
    </font>
    <font>
      <sz val="20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color rgb="FF000000"/>
      <name val="Calibri"/>
      <family val="2"/>
    </font>
    <font>
      <b/>
      <i/>
      <sz val="11"/>
      <color theme="1"/>
      <name val="Calibri"/>
      <family val="2"/>
      <scheme val="minor"/>
    </font>
    <font>
      <b/>
      <sz val="14"/>
      <color rgb="FFFF0000"/>
      <name val="Calibri"/>
      <family val="2"/>
    </font>
    <font>
      <b/>
      <sz val="14"/>
      <color indexed="21"/>
      <name val="Calibri"/>
      <family val="2"/>
    </font>
    <font>
      <b/>
      <sz val="14"/>
      <color indexed="10"/>
      <name val="Calibri"/>
      <family val="2"/>
    </font>
    <font>
      <b/>
      <sz val="14"/>
      <color indexed="8"/>
      <name val="Calibri"/>
      <family val="2"/>
    </font>
    <font>
      <b/>
      <sz val="14"/>
      <color indexed="57"/>
      <name val="Calibri"/>
      <family val="2"/>
    </font>
    <font>
      <b/>
      <sz val="14"/>
      <color rgb="FF008080"/>
      <name val="Calibri"/>
      <family val="2"/>
      <scheme val="minor"/>
    </font>
    <font>
      <b/>
      <sz val="14"/>
      <color rgb="FF008080"/>
      <name val="Calibri"/>
      <family val="2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2"/>
      <color rgb="FFFF0000"/>
      <name val="Calibri"/>
      <family val="2"/>
      <scheme val="minor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sz val="14"/>
      <color rgb="FF009999"/>
      <name val="Calibri"/>
      <family val="2"/>
    </font>
    <font>
      <b/>
      <sz val="10"/>
      <color theme="1"/>
      <name val="Calibri"/>
      <family val="2"/>
      <scheme val="minor"/>
    </font>
    <font>
      <b/>
      <sz val="18"/>
      <name val="Calibri"/>
      <family val="2"/>
    </font>
    <font>
      <b/>
      <sz val="14"/>
      <color indexed="81"/>
      <name val="Tahoma"/>
      <family val="2"/>
    </font>
    <font>
      <sz val="11"/>
      <color rgb="FF000000"/>
      <name val="Calibri"/>
      <family val="2"/>
    </font>
    <font>
      <b/>
      <sz val="18"/>
      <color theme="0"/>
      <name val="Calibri"/>
      <family val="2"/>
      <scheme val="minor"/>
    </font>
    <font>
      <b/>
      <sz val="14"/>
      <color indexed="81"/>
      <name val="Calibri Light"/>
      <family val="2"/>
      <scheme val="major"/>
    </font>
    <font>
      <sz val="15"/>
      <color theme="1" tint="0.499984740745262"/>
      <name val="Calibri"/>
      <family val="2"/>
      <scheme val="minor"/>
    </font>
    <font>
      <sz val="50"/>
      <color theme="1"/>
      <name val="Calibri"/>
      <family val="2"/>
      <scheme val="minor"/>
    </font>
    <font>
      <b/>
      <sz val="18"/>
      <color indexed="81"/>
      <name val="Segoe UI"/>
      <family val="2"/>
    </font>
    <font>
      <sz val="18"/>
      <color indexed="81"/>
      <name val="Segoe UI"/>
      <family val="2"/>
    </font>
    <font>
      <b/>
      <sz val="14"/>
      <color indexed="81"/>
      <name val="Segoe UI"/>
      <family val="2"/>
    </font>
    <font>
      <b/>
      <sz val="20"/>
      <color indexed="81"/>
      <name val="Segoe UI"/>
      <family val="2"/>
    </font>
    <font>
      <b/>
      <sz val="16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5"/>
      <color indexed="81"/>
      <name val="Segoe UI"/>
      <family val="2"/>
    </font>
    <font>
      <b/>
      <sz val="22"/>
      <color theme="1"/>
      <name val="Calibri"/>
      <family val="2"/>
      <scheme val="minor"/>
    </font>
    <font>
      <sz val="18"/>
      <color indexed="81"/>
      <name val="Tahoma"/>
      <family val="2"/>
    </font>
    <font>
      <b/>
      <sz val="13"/>
      <color indexed="8"/>
      <name val="Tahoma"/>
      <family val="2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rgb="FF2F5597"/>
      <name val="Calibri"/>
      <family val="2"/>
      <scheme val="minor"/>
    </font>
    <font>
      <b/>
      <sz val="15"/>
      <color indexed="81"/>
      <name val="Tahoma"/>
      <family val="2"/>
    </font>
    <font>
      <b/>
      <sz val="12"/>
      <color theme="1"/>
      <name val="Calibri"/>
      <family val="2"/>
    </font>
    <font>
      <b/>
      <sz val="20"/>
      <color rgb="FFFFFFFF"/>
      <name val="Calibri"/>
      <family val="2"/>
    </font>
    <font>
      <b/>
      <sz val="14"/>
      <color rgb="FFFFFFFF"/>
      <name val="Calibri"/>
      <family val="2"/>
    </font>
    <font>
      <b/>
      <sz val="14"/>
      <name val="Calibri"/>
      <family val="2"/>
    </font>
    <font>
      <b/>
      <sz val="14"/>
      <color rgb="FF000000"/>
      <name val="Calibri"/>
      <family val="2"/>
    </font>
    <font>
      <sz val="20"/>
      <color rgb="FFFF0000"/>
      <name val="Calibri"/>
      <family val="2"/>
      <scheme val="minor"/>
    </font>
    <font>
      <sz val="20"/>
      <color rgb="FF006100"/>
      <name val="Calibri"/>
      <family val="2"/>
      <scheme val="minor"/>
    </font>
    <font>
      <b/>
      <sz val="20"/>
      <color theme="0"/>
      <name val="Arial Narrow"/>
      <family val="2"/>
    </font>
    <font>
      <sz val="20"/>
      <color rgb="FF000000"/>
      <name val="Calibri"/>
      <family val="2"/>
      <scheme val="minor"/>
    </font>
    <font>
      <b/>
      <sz val="20"/>
      <name val="Arial Narrow"/>
      <family val="2"/>
    </font>
    <font>
      <sz val="20"/>
      <color theme="1"/>
      <name val="Arial Narrow"/>
      <family val="2"/>
    </font>
    <font>
      <sz val="20"/>
      <color theme="0"/>
      <name val="Calibri"/>
      <family val="2"/>
      <scheme val="minor"/>
    </font>
    <font>
      <b/>
      <sz val="20"/>
      <color theme="1"/>
      <name val="Arial Narrow"/>
      <family val="2"/>
    </font>
    <font>
      <b/>
      <sz val="22"/>
      <color theme="0"/>
      <name val="Calibri"/>
      <family val="2"/>
    </font>
    <font>
      <b/>
      <sz val="22"/>
      <name val="Calibri"/>
      <family val="2"/>
    </font>
    <font>
      <b/>
      <sz val="16"/>
      <color theme="0"/>
      <name val="Tahoma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008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/>
        <bgColor rgb="FFF2F2F2"/>
      </patternFill>
    </fill>
    <fill>
      <patternFill patternType="solid">
        <fgColor rgb="FFFFFAD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DFF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2A5664"/>
        <bgColor indexed="64"/>
      </patternFill>
    </fill>
    <fill>
      <patternFill patternType="solid">
        <fgColor rgb="FFE4F0F0"/>
        <bgColor indexed="64"/>
      </patternFill>
    </fill>
    <fill>
      <patternFill patternType="solid">
        <fgColor rgb="FF5E9AA6"/>
        <bgColor indexed="64"/>
      </patternFill>
    </fill>
    <fill>
      <patternFill patternType="lightGray">
        <bgColor rgb="FF5E9AA6"/>
      </patternFill>
    </fill>
    <fill>
      <patternFill patternType="solid">
        <fgColor rgb="FF2A5664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9" tint="0.39997558519241921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 tint="0.499984740745262"/>
      </right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 tint="0.499984740745262"/>
      </left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medium">
        <color indexed="64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16">
    <xf numFmtId="0" fontId="0" fillId="0" borderId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6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4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0" borderId="0"/>
    <xf numFmtId="0" fontId="2" fillId="0" borderId="0"/>
    <xf numFmtId="0" fontId="68" fillId="0" borderId="0" applyNumberFormat="0" applyFill="0" applyBorder="0" applyAlignment="0" applyProtection="0"/>
  </cellStyleXfs>
  <cellXfs count="62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3" fillId="2" borderId="0" xfId="0" applyFont="1" applyFill="1" applyBorder="1" applyAlignment="1">
      <alignment wrapText="1"/>
    </xf>
    <xf numFmtId="0" fontId="0" fillId="0" borderId="0" xfId="0" applyBorder="1"/>
    <xf numFmtId="0" fontId="3" fillId="5" borderId="0" xfId="0" applyFont="1" applyFill="1"/>
    <xf numFmtId="0" fontId="0" fillId="2" borderId="0" xfId="0" applyFill="1"/>
    <xf numFmtId="0" fontId="0" fillId="2" borderId="0" xfId="0" applyFill="1" applyAlignment="1">
      <alignment wrapText="1"/>
    </xf>
    <xf numFmtId="0" fontId="3" fillId="0" borderId="0" xfId="0" applyFont="1" applyBorder="1" applyAlignment="1">
      <alignment horizontal="center" vertical="center" wrapText="1"/>
    </xf>
    <xf numFmtId="0" fontId="11" fillId="2" borderId="0" xfId="0" applyFont="1" applyFill="1"/>
    <xf numFmtId="0" fontId="11" fillId="2" borderId="0" xfId="0" applyFont="1" applyFill="1" applyAlignment="1">
      <alignment horizontal="center"/>
    </xf>
    <xf numFmtId="0" fontId="5" fillId="2" borderId="0" xfId="0" applyFont="1" applyFill="1"/>
    <xf numFmtId="0" fontId="4" fillId="2" borderId="0" xfId="0" applyFont="1" applyFill="1" applyBorder="1" applyAlignment="1">
      <alignment horizontal="center" vertical="center" textRotation="90"/>
    </xf>
    <xf numFmtId="0" fontId="4" fillId="2" borderId="0" xfId="0" applyFont="1" applyFill="1" applyBorder="1" applyAlignment="1">
      <alignment horizontal="center" vertical="center" wrapText="1" readingOrder="1"/>
    </xf>
    <xf numFmtId="0" fontId="5" fillId="2" borderId="0" xfId="0" applyFont="1" applyFill="1" applyBorder="1"/>
    <xf numFmtId="0" fontId="4" fillId="2" borderId="0" xfId="0" applyFont="1" applyFill="1" applyBorder="1" applyAlignment="1">
      <alignment vertical="center" wrapText="1" readingOrder="1"/>
    </xf>
    <xf numFmtId="0" fontId="5" fillId="2" borderId="0" xfId="0" applyFont="1" applyFill="1" applyAlignment="1">
      <alignment wrapText="1"/>
    </xf>
    <xf numFmtId="0" fontId="7" fillId="0" borderId="0" xfId="0" applyFont="1" applyAlignment="1">
      <alignment wrapText="1"/>
    </xf>
    <xf numFmtId="166" fontId="7" fillId="0" borderId="0" xfId="0" applyNumberFormat="1" applyFont="1" applyAlignment="1">
      <alignment wrapText="1"/>
    </xf>
    <xf numFmtId="0" fontId="3" fillId="2" borderId="0" xfId="0" applyFont="1" applyFill="1"/>
    <xf numFmtId="0" fontId="12" fillId="0" borderId="0" xfId="0" applyFont="1" applyFill="1" applyBorder="1" applyAlignment="1"/>
    <xf numFmtId="0" fontId="3" fillId="0" borderId="0" xfId="0" applyFont="1" applyBorder="1" applyAlignment="1"/>
    <xf numFmtId="0" fontId="18" fillId="2" borderId="0" xfId="0" applyFont="1" applyFill="1" applyBorder="1" applyAlignment="1">
      <alignment horizontal="left" wrapText="1"/>
    </xf>
    <xf numFmtId="0" fontId="21" fillId="2" borderId="1" xfId="0" applyFont="1" applyFill="1" applyBorder="1" applyAlignment="1" applyProtection="1">
      <alignment vertical="center" wrapText="1"/>
      <protection locked="0"/>
    </xf>
    <xf numFmtId="41" fontId="4" fillId="3" borderId="1" xfId="0" applyNumberFormat="1" applyFont="1" applyFill="1" applyBorder="1" applyAlignment="1">
      <alignment vertical="center" wrapText="1"/>
    </xf>
    <xf numFmtId="165" fontId="4" fillId="3" borderId="1" xfId="0" applyNumberFormat="1" applyFont="1" applyFill="1" applyBorder="1" applyAlignment="1">
      <alignment vertical="center" wrapText="1"/>
    </xf>
    <xf numFmtId="41" fontId="5" fillId="2" borderId="1" xfId="0" applyNumberFormat="1" applyFont="1" applyFill="1" applyBorder="1" applyAlignment="1" applyProtection="1">
      <alignment vertical="center" wrapText="1"/>
      <protection locked="0"/>
    </xf>
    <xf numFmtId="41" fontId="5" fillId="2" borderId="1" xfId="0" applyNumberFormat="1" applyFont="1" applyFill="1" applyBorder="1" applyAlignment="1" applyProtection="1">
      <alignment vertical="center"/>
      <protection locked="0"/>
    </xf>
    <xf numFmtId="0" fontId="4" fillId="2" borderId="1" xfId="0" applyFont="1" applyFill="1" applyBorder="1" applyAlignment="1">
      <alignment vertical="center" wrapText="1"/>
    </xf>
    <xf numFmtId="41" fontId="4" fillId="2" borderId="1" xfId="0" applyNumberFormat="1" applyFont="1" applyFill="1" applyBorder="1" applyAlignment="1" applyProtection="1">
      <alignment vertical="center"/>
      <protection locked="0"/>
    </xf>
    <xf numFmtId="41" fontId="4" fillId="2" borderId="1" xfId="0" applyNumberFormat="1" applyFont="1" applyFill="1" applyBorder="1" applyAlignment="1" applyProtection="1">
      <alignment vertical="center" wrapText="1"/>
      <protection locked="0"/>
    </xf>
    <xf numFmtId="41" fontId="4" fillId="2" borderId="1" xfId="0" applyNumberFormat="1" applyFont="1" applyFill="1" applyBorder="1" applyAlignment="1">
      <alignment vertical="center" wrapText="1"/>
    </xf>
    <xf numFmtId="165" fontId="4" fillId="2" borderId="1" xfId="0" applyNumberFormat="1" applyFont="1" applyFill="1" applyBorder="1" applyAlignment="1">
      <alignment vertical="center" wrapText="1"/>
    </xf>
    <xf numFmtId="0" fontId="7" fillId="2" borderId="1" xfId="0" applyFont="1" applyFill="1" applyBorder="1" applyAlignment="1" applyProtection="1">
      <alignment vertical="center" wrapText="1"/>
      <protection locked="0"/>
    </xf>
    <xf numFmtId="0" fontId="3" fillId="0" borderId="0" xfId="0" applyFont="1" applyBorder="1" applyAlignment="1">
      <alignment horizontal="center" vertical="center" wrapText="1"/>
    </xf>
    <xf numFmtId="169" fontId="21" fillId="2" borderId="1" xfId="4" applyNumberFormat="1" applyFont="1" applyFill="1" applyBorder="1" applyAlignment="1" applyProtection="1">
      <alignment vertical="center" wrapText="1"/>
      <protection locked="0"/>
    </xf>
    <xf numFmtId="169" fontId="13" fillId="8" borderId="11" xfId="4" applyNumberFormat="1" applyFont="1" applyFill="1" applyBorder="1" applyAlignment="1">
      <alignment vertical="center" wrapText="1"/>
    </xf>
    <xf numFmtId="169" fontId="21" fillId="3" borderId="1" xfId="4" applyNumberFormat="1" applyFont="1" applyFill="1" applyBorder="1" applyAlignment="1">
      <alignment vertical="center" wrapText="1"/>
    </xf>
    <xf numFmtId="171" fontId="35" fillId="11" borderId="1" xfId="0" applyNumberFormat="1" applyFont="1" applyFill="1" applyBorder="1" applyAlignment="1">
      <alignment vertical="center" wrapText="1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5" xfId="0" applyBorder="1"/>
    <xf numFmtId="0" fontId="0" fillId="0" borderId="6" xfId="0" applyBorder="1"/>
    <xf numFmtId="41" fontId="4" fillId="5" borderId="1" xfId="0" applyNumberFormat="1" applyFont="1" applyFill="1" applyBorder="1" applyAlignment="1">
      <alignment vertical="center" wrapText="1"/>
    </xf>
    <xf numFmtId="41" fontId="8" fillId="2" borderId="0" xfId="0" applyNumberFormat="1" applyFont="1" applyFill="1" applyBorder="1" applyAlignment="1">
      <alignment horizontal="center" vertical="center" wrapText="1"/>
    </xf>
    <xf numFmtId="169" fontId="8" fillId="3" borderId="1" xfId="4" applyNumberFormat="1" applyFont="1" applyFill="1" applyBorder="1" applyAlignment="1">
      <alignment horizontal="left" vertical="center" wrapText="1"/>
    </xf>
    <xf numFmtId="170" fontId="8" fillId="3" borderId="1" xfId="4" applyNumberFormat="1" applyFont="1" applyFill="1" applyBorder="1" applyAlignment="1">
      <alignment horizontal="left" vertical="center" wrapText="1"/>
    </xf>
    <xf numFmtId="167" fontId="8" fillId="2" borderId="0" xfId="3" applyNumberFormat="1" applyFont="1" applyFill="1" applyBorder="1" applyAlignment="1">
      <alignment horizontal="left" vertical="center" wrapText="1"/>
    </xf>
    <xf numFmtId="41" fontId="8" fillId="10" borderId="1" xfId="0" applyNumberFormat="1" applyFont="1" applyFill="1" applyBorder="1" applyAlignment="1">
      <alignment horizontal="right" vertical="center" wrapText="1"/>
    </xf>
    <xf numFmtId="170" fontId="8" fillId="3" borderId="1" xfId="4" applyNumberFormat="1" applyFont="1" applyFill="1" applyBorder="1" applyAlignment="1">
      <alignment horizontal="right" vertical="center" wrapText="1"/>
    </xf>
    <xf numFmtId="41" fontId="8" fillId="2" borderId="1" xfId="0" applyNumberFormat="1" applyFont="1" applyFill="1" applyBorder="1" applyAlignment="1">
      <alignment horizontal="left" vertical="center" wrapText="1"/>
    </xf>
    <xf numFmtId="41" fontId="8" fillId="3" borderId="1" xfId="0" applyNumberFormat="1" applyFont="1" applyFill="1" applyBorder="1" applyAlignment="1">
      <alignment horizontal="left" vertical="center" wrapText="1"/>
    </xf>
    <xf numFmtId="168" fontId="8" fillId="2" borderId="0" xfId="4" applyNumberFormat="1" applyFont="1" applyFill="1" applyBorder="1" applyAlignment="1">
      <alignment horizontal="right" vertical="center" wrapText="1"/>
    </xf>
    <xf numFmtId="164" fontId="8" fillId="2" borderId="0" xfId="4" applyFont="1" applyFill="1" applyBorder="1" applyAlignment="1">
      <alignment horizontal="left" vertical="center" wrapText="1"/>
    </xf>
    <xf numFmtId="168" fontId="8" fillId="2" borderId="0" xfId="4" applyNumberFormat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vertical="center" wrapText="1"/>
    </xf>
    <xf numFmtId="41" fontId="8" fillId="2" borderId="0" xfId="0" applyNumberFormat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 textRotation="90"/>
    </xf>
    <xf numFmtId="0" fontId="8" fillId="2" borderId="0" xfId="0" applyFont="1" applyFill="1" applyBorder="1" applyAlignment="1">
      <alignment horizontal="left" vertical="center" wrapText="1"/>
    </xf>
    <xf numFmtId="41" fontId="8" fillId="2" borderId="1" xfId="0" applyNumberFormat="1" applyFont="1" applyFill="1" applyBorder="1" applyAlignment="1">
      <alignment horizontal="center" vertical="center" wrapText="1"/>
    </xf>
    <xf numFmtId="41" fontId="8" fillId="3" borderId="1" xfId="0" applyNumberFormat="1" applyFont="1" applyFill="1" applyBorder="1" applyAlignment="1">
      <alignment horizontal="right" vertical="center" wrapText="1"/>
    </xf>
    <xf numFmtId="167" fontId="8" fillId="3" borderId="1" xfId="4" applyNumberFormat="1" applyFont="1" applyFill="1" applyBorder="1" applyAlignment="1">
      <alignment horizontal="right" vertical="center" wrapText="1"/>
    </xf>
    <xf numFmtId="167" fontId="8" fillId="3" borderId="1" xfId="3" applyNumberFormat="1" applyFont="1" applyFill="1" applyBorder="1" applyAlignment="1">
      <alignment horizontal="right" vertical="center" wrapText="1"/>
    </xf>
    <xf numFmtId="169" fontId="8" fillId="3" borderId="1" xfId="4" applyNumberFormat="1" applyFont="1" applyFill="1" applyBorder="1" applyAlignment="1" applyProtection="1">
      <alignment horizontal="left" vertical="center" wrapText="1"/>
    </xf>
    <xf numFmtId="170" fontId="8" fillId="3" borderId="1" xfId="4" applyNumberFormat="1" applyFont="1" applyFill="1" applyBorder="1" applyAlignment="1" applyProtection="1">
      <alignment horizontal="left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45" fillId="0" borderId="0" xfId="0" applyFont="1"/>
    <xf numFmtId="0" fontId="45" fillId="2" borderId="0" xfId="0" applyFont="1" applyFill="1" applyAlignment="1">
      <alignment horizontal="center"/>
    </xf>
    <xf numFmtId="0" fontId="7" fillId="0" borderId="0" xfId="0" applyFont="1"/>
    <xf numFmtId="0" fontId="7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48" fillId="0" borderId="0" xfId="0" applyFont="1"/>
    <xf numFmtId="0" fontId="20" fillId="8" borderId="1" xfId="0" applyFont="1" applyFill="1" applyBorder="1" applyAlignment="1">
      <alignment vertical="center"/>
    </xf>
    <xf numFmtId="41" fontId="52" fillId="0" borderId="1" xfId="0" applyNumberFormat="1" applyFont="1" applyFill="1" applyBorder="1" applyAlignment="1">
      <alignment horizontal="right" vertical="center" wrapText="1"/>
    </xf>
    <xf numFmtId="41" fontId="4" fillId="3" borderId="1" xfId="0" applyNumberFormat="1" applyFont="1" applyFill="1" applyBorder="1" applyAlignment="1" applyProtection="1">
      <alignment vertical="center" wrapText="1"/>
      <protection locked="0"/>
    </xf>
    <xf numFmtId="0" fontId="45" fillId="15" borderId="1" xfId="0" applyFont="1" applyFill="1" applyBorder="1" applyAlignment="1">
      <alignment horizontal="left" vertical="center" wrapText="1"/>
    </xf>
    <xf numFmtId="0" fontId="45" fillId="13" borderId="1" xfId="0" applyFont="1" applyFill="1" applyBorder="1" applyAlignment="1">
      <alignment horizontal="left" vertical="center" wrapText="1"/>
    </xf>
    <xf numFmtId="0" fontId="0" fillId="0" borderId="0" xfId="0"/>
    <xf numFmtId="0" fontId="20" fillId="8" borderId="32" xfId="0" applyFont="1" applyFill="1" applyBorder="1" applyAlignment="1">
      <alignment vertical="center"/>
    </xf>
    <xf numFmtId="0" fontId="58" fillId="0" borderId="0" xfId="0" applyFont="1"/>
    <xf numFmtId="0" fontId="63" fillId="9" borderId="1" xfId="0" applyFont="1" applyFill="1" applyBorder="1" applyAlignment="1">
      <alignment horizontal="center" vertical="center" wrapText="1"/>
    </xf>
    <xf numFmtId="41" fontId="63" fillId="9" borderId="1" xfId="0" applyNumberFormat="1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left" vertical="top" wrapText="1"/>
    </xf>
    <xf numFmtId="171" fontId="21" fillId="17" borderId="1" xfId="0" applyNumberFormat="1" applyFont="1" applyFill="1" applyBorder="1" applyAlignment="1" applyProtection="1">
      <alignment vertical="center" wrapText="1"/>
      <protection locked="0"/>
    </xf>
    <xf numFmtId="0" fontId="15" fillId="2" borderId="10" xfId="0" applyFont="1" applyFill="1" applyBorder="1" applyAlignment="1">
      <alignment horizontal="left" vertical="center" wrapText="1"/>
    </xf>
    <xf numFmtId="0" fontId="16" fillId="2" borderId="0" xfId="0" applyFont="1" applyFill="1" applyAlignment="1">
      <alignment horizontal="center" vertical="center" wrapText="1"/>
    </xf>
    <xf numFmtId="0" fontId="16" fillId="2" borderId="10" xfId="0" applyFont="1" applyFill="1" applyBorder="1" applyAlignment="1" applyProtection="1">
      <alignment horizontal="left" vertical="center" wrapText="1"/>
      <protection locked="0"/>
    </xf>
    <xf numFmtId="0" fontId="48" fillId="2" borderId="0" xfId="0" applyFont="1" applyFill="1"/>
    <xf numFmtId="0" fontId="7" fillId="2" borderId="0" xfId="0" applyFont="1" applyFill="1" applyAlignment="1">
      <alignment vertical="center" wrapText="1"/>
    </xf>
    <xf numFmtId="0" fontId="51" fillId="0" borderId="27" xfId="0" applyFont="1" applyFill="1" applyBorder="1" applyAlignment="1">
      <alignment horizontal="left" vertical="top" wrapText="1"/>
    </xf>
    <xf numFmtId="41" fontId="4" fillId="3" borderId="1" xfId="0" applyNumberFormat="1" applyFont="1" applyFill="1" applyBorder="1" applyAlignment="1" applyProtection="1">
      <alignment vertical="center"/>
      <protection locked="0"/>
    </xf>
    <xf numFmtId="0" fontId="67" fillId="0" borderId="0" xfId="0" applyFont="1"/>
    <xf numFmtId="169" fontId="21" fillId="3" borderId="1" xfId="4" applyNumberFormat="1" applyFont="1" applyFill="1" applyBorder="1" applyAlignment="1" applyProtection="1">
      <alignment vertical="center" wrapText="1"/>
      <protection locked="0"/>
    </xf>
    <xf numFmtId="168" fontId="11" fillId="2" borderId="0" xfId="4" applyNumberFormat="1" applyFont="1" applyFill="1" applyBorder="1" applyAlignment="1">
      <alignment vertical="center" wrapText="1"/>
    </xf>
    <xf numFmtId="0" fontId="45" fillId="2" borderId="0" xfId="0" applyFont="1" applyFill="1"/>
    <xf numFmtId="0" fontId="5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wrapText="1"/>
    </xf>
    <xf numFmtId="0" fontId="55" fillId="19" borderId="20" xfId="0" applyFont="1" applyFill="1" applyBorder="1" applyAlignment="1">
      <alignment horizontal="left" vertical="center" wrapText="1"/>
    </xf>
    <xf numFmtId="0" fontId="55" fillId="19" borderId="4" xfId="0" applyFont="1" applyFill="1" applyBorder="1" applyAlignment="1">
      <alignment horizontal="center" vertical="center" wrapText="1"/>
    </xf>
    <xf numFmtId="0" fontId="55" fillId="19" borderId="26" xfId="0" applyFont="1" applyFill="1" applyBorder="1" applyAlignment="1">
      <alignment horizontal="center" vertical="center" wrapText="1"/>
    </xf>
    <xf numFmtId="0" fontId="76" fillId="0" borderId="39" xfId="0" applyFont="1" applyBorder="1" applyAlignment="1">
      <alignment horizontal="center" wrapText="1"/>
    </xf>
    <xf numFmtId="0" fontId="76" fillId="0" borderId="39" xfId="0" applyFont="1" applyBorder="1" applyAlignment="1">
      <alignment horizontal="center" vertical="top" wrapText="1"/>
    </xf>
    <xf numFmtId="0" fontId="55" fillId="2" borderId="5" xfId="0" applyFont="1" applyFill="1" applyBorder="1" applyAlignment="1">
      <alignment horizontal="left" vertical="center"/>
    </xf>
    <xf numFmtId="0" fontId="55" fillId="2" borderId="0" xfId="0" applyFont="1" applyFill="1" applyBorder="1" applyAlignment="1">
      <alignment horizontal="left" vertical="center"/>
    </xf>
    <xf numFmtId="0" fontId="45" fillId="2" borderId="6" xfId="0" applyFont="1" applyFill="1" applyBorder="1" applyAlignment="1">
      <alignment wrapText="1"/>
    </xf>
    <xf numFmtId="0" fontId="55" fillId="19" borderId="49" xfId="0" applyFont="1" applyFill="1" applyBorder="1" applyAlignment="1">
      <alignment horizontal="left" vertical="center" wrapText="1"/>
    </xf>
    <xf numFmtId="0" fontId="55" fillId="19" borderId="52" xfId="0" applyFont="1" applyFill="1" applyBorder="1" applyAlignment="1">
      <alignment horizontal="center" vertical="center" wrapText="1"/>
    </xf>
    <xf numFmtId="0" fontId="76" fillId="2" borderId="50" xfId="0" applyFont="1" applyFill="1" applyBorder="1" applyAlignment="1">
      <alignment horizontal="center" wrapText="1"/>
    </xf>
    <xf numFmtId="0" fontId="76" fillId="2" borderId="17" xfId="0" applyFont="1" applyFill="1" applyBorder="1" applyAlignment="1">
      <alignment horizontal="center" vertical="top" wrapText="1"/>
    </xf>
    <xf numFmtId="0" fontId="76" fillId="2" borderId="13" xfId="0" applyFont="1" applyFill="1" applyBorder="1" applyAlignment="1">
      <alignment horizontal="center" wrapText="1"/>
    </xf>
    <xf numFmtId="0" fontId="76" fillId="2" borderId="13" xfId="0" applyFont="1" applyFill="1" applyBorder="1" applyAlignment="1">
      <alignment horizontal="center" vertical="top" wrapText="1"/>
    </xf>
    <xf numFmtId="0" fontId="78" fillId="0" borderId="0" xfId="0" applyFont="1" applyAlignment="1">
      <alignment horizontal="center" vertical="center" wrapText="1"/>
    </xf>
    <xf numFmtId="0" fontId="78" fillId="0" borderId="0" xfId="0" applyFont="1" applyAlignment="1">
      <alignment vertical="center" wrapText="1"/>
    </xf>
    <xf numFmtId="0" fontId="45" fillId="2" borderId="12" xfId="0" applyFont="1" applyFill="1" applyBorder="1" applyAlignment="1">
      <alignment horizontal="left" vertical="center" wrapText="1"/>
    </xf>
    <xf numFmtId="0" fontId="76" fillId="2" borderId="60" xfId="0" applyFont="1" applyFill="1" applyBorder="1" applyAlignment="1">
      <alignment horizontal="center" vertical="center"/>
    </xf>
    <xf numFmtId="9" fontId="76" fillId="2" borderId="61" xfId="3" applyFont="1" applyFill="1" applyBorder="1" applyAlignment="1">
      <alignment horizontal="center" vertical="center"/>
    </xf>
    <xf numFmtId="9" fontId="76" fillId="2" borderId="62" xfId="3" applyFont="1" applyFill="1" applyBorder="1" applyAlignment="1">
      <alignment horizontal="center" vertical="center" wrapText="1"/>
    </xf>
    <xf numFmtId="0" fontId="76" fillId="2" borderId="12" xfId="0" applyFont="1" applyFill="1" applyBorder="1" applyAlignment="1">
      <alignment horizontal="left" vertical="center" wrapText="1"/>
    </xf>
    <xf numFmtId="0" fontId="76" fillId="2" borderId="1" xfId="0" applyFont="1" applyFill="1" applyBorder="1" applyAlignment="1">
      <alignment horizontal="center" vertical="center" wrapText="1"/>
    </xf>
    <xf numFmtId="169" fontId="76" fillId="2" borderId="13" xfId="4" applyNumberFormat="1" applyFont="1" applyFill="1" applyBorder="1" applyAlignment="1">
      <alignment horizontal="center" vertical="center" wrapText="1"/>
    </xf>
    <xf numFmtId="169" fontId="45" fillId="0" borderId="53" xfId="4" applyNumberFormat="1" applyFont="1" applyBorder="1" applyAlignment="1">
      <alignment horizontal="center" vertical="center" wrapText="1"/>
    </xf>
    <xf numFmtId="0" fontId="76" fillId="12" borderId="13" xfId="5" applyFont="1" applyFill="1" applyBorder="1" applyAlignment="1">
      <alignment horizontal="center" wrapText="1"/>
    </xf>
    <xf numFmtId="0" fontId="76" fillId="12" borderId="13" xfId="5" applyFont="1" applyFill="1" applyBorder="1" applyAlignment="1">
      <alignment horizontal="center" vertical="top" wrapText="1"/>
    </xf>
    <xf numFmtId="0" fontId="76" fillId="2" borderId="13" xfId="5" applyFont="1" applyFill="1" applyBorder="1" applyAlignment="1">
      <alignment horizontal="center" wrapText="1"/>
    </xf>
    <xf numFmtId="0" fontId="76" fillId="2" borderId="13" xfId="5" applyFont="1" applyFill="1" applyBorder="1" applyAlignment="1">
      <alignment horizontal="center" vertical="top" wrapText="1"/>
    </xf>
    <xf numFmtId="0" fontId="55" fillId="18" borderId="73" xfId="0" applyFont="1" applyFill="1" applyBorder="1" applyAlignment="1">
      <alignment horizontal="center" vertical="center" wrapText="1"/>
    </xf>
    <xf numFmtId="0" fontId="76" fillId="2" borderId="77" xfId="0" applyFont="1" applyFill="1" applyBorder="1" applyAlignment="1">
      <alignment horizontal="left" vertical="center" wrapText="1"/>
    </xf>
    <xf numFmtId="0" fontId="76" fillId="2" borderId="79" xfId="0" applyFont="1" applyFill="1" applyBorder="1" applyAlignment="1">
      <alignment horizontal="center" vertical="center" wrapText="1"/>
    </xf>
    <xf numFmtId="169" fontId="76" fillId="2" borderId="39" xfId="4" applyNumberFormat="1" applyFont="1" applyFill="1" applyBorder="1" applyAlignment="1">
      <alignment horizontal="center" vertical="center" wrapText="1"/>
    </xf>
    <xf numFmtId="169" fontId="45" fillId="0" borderId="42" xfId="4" applyNumberFormat="1" applyFont="1" applyBorder="1" applyAlignment="1">
      <alignment horizontal="center" vertical="center" wrapText="1"/>
    </xf>
    <xf numFmtId="0" fontId="76" fillId="2" borderId="74" xfId="0" applyFont="1" applyFill="1" applyBorder="1" applyAlignment="1">
      <alignment horizontal="center" wrapText="1"/>
    </xf>
    <xf numFmtId="0" fontId="45" fillId="0" borderId="27" xfId="0" applyFont="1" applyBorder="1" applyAlignment="1">
      <alignment horizontal="center" vertical="top"/>
    </xf>
    <xf numFmtId="0" fontId="76" fillId="2" borderId="26" xfId="0" applyFont="1" applyFill="1" applyBorder="1" applyAlignment="1">
      <alignment horizontal="center" wrapText="1"/>
    </xf>
    <xf numFmtId="0" fontId="45" fillId="0" borderId="8" xfId="0" applyFont="1" applyBorder="1" applyAlignment="1">
      <alignment horizontal="center" vertical="top"/>
    </xf>
    <xf numFmtId="0" fontId="45" fillId="0" borderId="0" xfId="0" applyFont="1" applyAlignment="1">
      <alignment horizontal="left" vertical="center"/>
    </xf>
    <xf numFmtId="0" fontId="45" fillId="0" borderId="0" xfId="0" applyFont="1" applyAlignment="1">
      <alignment horizontal="center"/>
    </xf>
    <xf numFmtId="0" fontId="45" fillId="0" borderId="0" xfId="0" applyFont="1" applyAlignment="1">
      <alignment wrapText="1"/>
    </xf>
    <xf numFmtId="0" fontId="17" fillId="19" borderId="1" xfId="0" applyFont="1" applyFill="1" applyBorder="1" applyAlignment="1">
      <alignment horizontal="center" vertical="center" wrapText="1"/>
    </xf>
    <xf numFmtId="0" fontId="20" fillId="19" borderId="1" xfId="0" applyFont="1" applyFill="1" applyBorder="1" applyAlignment="1">
      <alignment horizontal="left" vertical="center" wrapText="1"/>
    </xf>
    <xf numFmtId="0" fontId="45" fillId="20" borderId="1" xfId="0" applyFont="1" applyFill="1" applyBorder="1" applyAlignment="1">
      <alignment horizontal="left" vertical="center" wrapText="1"/>
    </xf>
    <xf numFmtId="0" fontId="20" fillId="19" borderId="1" xfId="0" applyFont="1" applyFill="1" applyBorder="1" applyAlignment="1">
      <alignment horizontal="left" vertical="center"/>
    </xf>
    <xf numFmtId="0" fontId="14" fillId="19" borderId="1" xfId="0" applyFont="1" applyFill="1" applyBorder="1" applyAlignment="1">
      <alignment horizontal="left" vertical="center" wrapText="1"/>
    </xf>
    <xf numFmtId="169" fontId="21" fillId="3" borderId="1" xfId="3" applyNumberFormat="1" applyFont="1" applyFill="1" applyBorder="1" applyAlignment="1">
      <alignment horizontal="center" vertical="center" wrapText="1"/>
    </xf>
    <xf numFmtId="41" fontId="19" fillId="9" borderId="1" xfId="0" applyNumberFormat="1" applyFont="1" applyFill="1" applyBorder="1" applyAlignment="1" applyProtection="1">
      <alignment horizontal="center" vertical="center" wrapText="1"/>
    </xf>
    <xf numFmtId="165" fontId="14" fillId="19" borderId="1" xfId="0" applyNumberFormat="1" applyFont="1" applyFill="1" applyBorder="1" applyAlignment="1" applyProtection="1">
      <alignment horizontal="center" vertical="center" wrapText="1"/>
    </xf>
    <xf numFmtId="41" fontId="5" fillId="3" borderId="1" xfId="0" applyNumberFormat="1" applyFont="1" applyFill="1" applyBorder="1" applyAlignment="1" applyProtection="1">
      <alignment vertical="center" wrapText="1"/>
      <protection locked="0"/>
    </xf>
    <xf numFmtId="41" fontId="34" fillId="22" borderId="1" xfId="0" applyNumberFormat="1" applyFont="1" applyFill="1" applyBorder="1" applyAlignment="1">
      <alignment vertical="center" wrapText="1"/>
    </xf>
    <xf numFmtId="165" fontId="34" fillId="22" borderId="1" xfId="0" applyNumberFormat="1" applyFont="1" applyFill="1" applyBorder="1" applyAlignment="1">
      <alignment vertical="center" wrapText="1"/>
    </xf>
    <xf numFmtId="164" fontId="19" fillId="22" borderId="1" xfId="0" applyNumberFormat="1" applyFont="1" applyFill="1" applyBorder="1" applyAlignment="1">
      <alignment vertical="center" wrapText="1"/>
    </xf>
    <xf numFmtId="170" fontId="19" fillId="22" borderId="1" xfId="0" applyNumberFormat="1" applyFont="1" applyFill="1" applyBorder="1" applyAlignment="1">
      <alignment vertical="center" wrapText="1"/>
    </xf>
    <xf numFmtId="0" fontId="8" fillId="0" borderId="18" xfId="0" applyFont="1" applyFill="1" applyBorder="1" applyAlignment="1">
      <alignment horizontal="center" vertical="top" wrapText="1"/>
    </xf>
    <xf numFmtId="0" fontId="81" fillId="23" borderId="1" xfId="0" applyFont="1" applyFill="1" applyBorder="1" applyAlignment="1">
      <alignment vertical="center"/>
    </xf>
    <xf numFmtId="164" fontId="81" fillId="23" borderId="1" xfId="0" applyNumberFormat="1" applyFont="1" applyFill="1" applyBorder="1" applyAlignment="1">
      <alignment vertical="center"/>
    </xf>
    <xf numFmtId="0" fontId="82" fillId="23" borderId="1" xfId="0" applyFont="1" applyFill="1" applyBorder="1" applyAlignment="1">
      <alignment horizontal="center" vertical="center" wrapText="1"/>
    </xf>
    <xf numFmtId="0" fontId="82" fillId="23" borderId="1" xfId="0" applyFont="1" applyFill="1" applyBorder="1" applyAlignment="1">
      <alignment vertical="center" wrapText="1"/>
    </xf>
    <xf numFmtId="169" fontId="84" fillId="3" borderId="1" xfId="4" applyNumberFormat="1" applyFont="1" applyFill="1" applyBorder="1" applyAlignment="1">
      <alignment horizontal="left" vertical="center" wrapText="1"/>
    </xf>
    <xf numFmtId="164" fontId="84" fillId="3" borderId="1" xfId="4" applyNumberFormat="1" applyFont="1" applyFill="1" applyBorder="1" applyAlignment="1">
      <alignment horizontal="right" vertical="center" wrapText="1"/>
    </xf>
    <xf numFmtId="0" fontId="80" fillId="14" borderId="24" xfId="0" applyFont="1" applyFill="1" applyBorder="1" applyAlignment="1">
      <alignment vertical="center" wrapText="1"/>
    </xf>
    <xf numFmtId="41" fontId="14" fillId="19" borderId="1" xfId="0" applyNumberFormat="1" applyFont="1" applyFill="1" applyBorder="1" applyAlignment="1">
      <alignment horizontal="center" vertical="center" wrapText="1"/>
    </xf>
    <xf numFmtId="164" fontId="14" fillId="19" borderId="1" xfId="4" applyNumberFormat="1" applyFont="1" applyFill="1" applyBorder="1" applyAlignment="1">
      <alignment horizontal="left" vertical="center" wrapText="1"/>
    </xf>
    <xf numFmtId="170" fontId="14" fillId="19" borderId="1" xfId="4" applyNumberFormat="1" applyFont="1" applyFill="1" applyBorder="1" applyAlignment="1">
      <alignment horizontal="left" vertical="center" wrapText="1"/>
    </xf>
    <xf numFmtId="164" fontId="8" fillId="2" borderId="1" xfId="4" applyNumberFormat="1" applyFont="1" applyFill="1" applyBorder="1" applyAlignment="1">
      <alignment horizontal="right" vertical="center" wrapText="1"/>
    </xf>
    <xf numFmtId="164" fontId="8" fillId="2" borderId="1" xfId="0" applyNumberFormat="1" applyFont="1" applyFill="1" applyBorder="1" applyAlignment="1">
      <alignment horizontal="right" vertical="center" wrapText="1"/>
    </xf>
    <xf numFmtId="41" fontId="8" fillId="20" borderId="1" xfId="0" applyNumberFormat="1" applyFont="1" applyFill="1" applyBorder="1" applyAlignment="1">
      <alignment horizontal="center" vertical="center" wrapText="1"/>
    </xf>
    <xf numFmtId="168" fontId="8" fillId="2" borderId="0" xfId="4" applyNumberFormat="1" applyFont="1" applyFill="1" applyBorder="1" applyAlignment="1">
      <alignment vertical="center" wrapText="1"/>
    </xf>
    <xf numFmtId="168" fontId="8" fillId="2" borderId="33" xfId="4" applyNumberFormat="1" applyFont="1" applyFill="1" applyBorder="1" applyAlignment="1">
      <alignment vertical="center" wrapText="1"/>
    </xf>
    <xf numFmtId="164" fontId="8" fillId="3" borderId="1" xfId="4" applyNumberFormat="1" applyFont="1" applyFill="1" applyBorder="1" applyAlignment="1">
      <alignment horizontal="right" vertical="center" wrapText="1"/>
    </xf>
    <xf numFmtId="164" fontId="8" fillId="3" borderId="1" xfId="0" applyNumberFormat="1" applyFont="1" applyFill="1" applyBorder="1" applyAlignment="1">
      <alignment horizontal="right" vertical="center" wrapText="1"/>
    </xf>
    <xf numFmtId="0" fontId="34" fillId="9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3" fillId="2" borderId="0" xfId="1" applyFont="1" applyFill="1" applyAlignment="1">
      <alignment vertical="center"/>
    </xf>
    <xf numFmtId="0" fontId="33" fillId="2" borderId="0" xfId="2" applyFont="1" applyFill="1" applyAlignment="1">
      <alignment vertical="center"/>
    </xf>
    <xf numFmtId="0" fontId="86" fillId="0" borderId="0" xfId="1" applyFont="1" applyFill="1"/>
    <xf numFmtId="0" fontId="7" fillId="0" borderId="0" xfId="0" applyFont="1" applyFill="1"/>
    <xf numFmtId="0" fontId="7" fillId="0" borderId="0" xfId="0" applyFont="1" applyBorder="1"/>
    <xf numFmtId="164" fontId="88" fillId="2" borderId="0" xfId="0" applyNumberFormat="1" applyFont="1" applyFill="1" applyBorder="1" applyAlignment="1">
      <alignment horizontal="right" wrapText="1"/>
    </xf>
    <xf numFmtId="0" fontId="90" fillId="0" borderId="0" xfId="0" applyFont="1" applyAlignment="1">
      <alignment vertical="center"/>
    </xf>
    <xf numFmtId="0" fontId="86" fillId="0" borderId="0" xfId="1" applyFont="1" applyFill="1" applyAlignment="1">
      <alignment vertical="center"/>
    </xf>
    <xf numFmtId="0" fontId="90" fillId="0" borderId="0" xfId="0" applyFont="1" applyFill="1" applyAlignment="1">
      <alignment vertical="center"/>
    </xf>
    <xf numFmtId="0" fontId="87" fillId="19" borderId="1" xfId="0" applyFont="1" applyFill="1" applyBorder="1" applyAlignment="1">
      <alignment horizontal="center" vertical="center" wrapText="1"/>
    </xf>
    <xf numFmtId="0" fontId="88" fillId="3" borderId="1" xfId="0" applyFont="1" applyFill="1" applyBorder="1" applyAlignment="1">
      <alignment horizontal="left" vertical="center" wrapText="1"/>
    </xf>
    <xf numFmtId="0" fontId="88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164" fontId="88" fillId="3" borderId="1" xfId="4" applyNumberFormat="1" applyFont="1" applyFill="1" applyBorder="1" applyAlignment="1">
      <alignment horizontal="right" vertical="center" wrapText="1"/>
    </xf>
    <xf numFmtId="164" fontId="88" fillId="0" borderId="1" xfId="4" applyNumberFormat="1" applyFont="1" applyFill="1" applyBorder="1" applyAlignment="1">
      <alignment horizontal="right" vertical="center" wrapText="1"/>
    </xf>
    <xf numFmtId="164" fontId="88" fillId="4" borderId="1" xfId="4" applyNumberFormat="1" applyFont="1" applyFill="1" applyBorder="1" applyAlignment="1">
      <alignment horizontal="right" vertical="center" wrapText="1"/>
    </xf>
    <xf numFmtId="170" fontId="88" fillId="4" borderId="1" xfId="4" applyNumberFormat="1" applyFont="1" applyFill="1" applyBorder="1" applyAlignment="1">
      <alignment horizontal="right" vertical="center" wrapText="1"/>
    </xf>
    <xf numFmtId="37" fontId="7" fillId="0" borderId="0" xfId="0" applyNumberFormat="1" applyFont="1" applyAlignment="1">
      <alignment horizontal="center"/>
    </xf>
    <xf numFmtId="164" fontId="91" fillId="19" borderId="1" xfId="4" applyNumberFormat="1" applyFont="1" applyFill="1" applyBorder="1" applyAlignment="1">
      <alignment horizontal="right" vertical="center" wrapText="1"/>
    </xf>
    <xf numFmtId="164" fontId="17" fillId="19" borderId="1" xfId="4" applyNumberFormat="1" applyFont="1" applyFill="1" applyBorder="1" applyAlignment="1">
      <alignment horizontal="right" vertical="center" wrapText="1"/>
    </xf>
    <xf numFmtId="37" fontId="7" fillId="0" borderId="0" xfId="0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170" fontId="17" fillId="19" borderId="1" xfId="4" applyNumberFormat="1" applyFont="1" applyFill="1" applyBorder="1" applyAlignment="1">
      <alignment horizontal="right" vertical="center" wrapText="1"/>
    </xf>
    <xf numFmtId="0" fontId="90" fillId="0" borderId="0" xfId="0" applyFont="1"/>
    <xf numFmtId="0" fontId="31" fillId="0" borderId="0" xfId="0" applyFont="1" applyBorder="1" applyAlignment="1"/>
    <xf numFmtId="0" fontId="31" fillId="0" borderId="0" xfId="0" applyFont="1" applyBorder="1" applyAlignment="1">
      <alignment horizontal="center"/>
    </xf>
    <xf numFmtId="0" fontId="92" fillId="0" borderId="0" xfId="0" applyFont="1"/>
    <xf numFmtId="0" fontId="7" fillId="2" borderId="0" xfId="0" applyFont="1" applyFill="1" applyAlignment="1">
      <alignment wrapText="1"/>
    </xf>
    <xf numFmtId="0" fontId="16" fillId="19" borderId="1" xfId="0" applyFont="1" applyFill="1" applyBorder="1" applyAlignment="1">
      <alignment horizontal="center" vertical="center" wrapText="1"/>
    </xf>
    <xf numFmtId="0" fontId="34" fillId="9" borderId="1" xfId="0" applyFont="1" applyFill="1" applyBorder="1" applyAlignment="1">
      <alignment horizontal="center" vertical="center" wrapText="1"/>
    </xf>
    <xf numFmtId="164" fontId="7" fillId="9" borderId="1" xfId="4" applyNumberFormat="1" applyFont="1" applyFill="1" applyBorder="1" applyAlignment="1" applyProtection="1">
      <alignment vertical="center" wrapText="1"/>
      <protection locked="0"/>
    </xf>
    <xf numFmtId="164" fontId="7" fillId="2" borderId="1" xfId="4" applyNumberFormat="1" applyFont="1" applyFill="1" applyBorder="1" applyAlignment="1" applyProtection="1">
      <alignment vertical="center" wrapText="1"/>
      <protection locked="0"/>
    </xf>
    <xf numFmtId="170" fontId="7" fillId="3" borderId="1" xfId="0" applyNumberFormat="1" applyFont="1" applyFill="1" applyBorder="1" applyAlignment="1">
      <alignment vertical="center" wrapText="1"/>
    </xf>
    <xf numFmtId="0" fontId="87" fillId="2" borderId="0" xfId="0" applyFont="1" applyFill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167" fontId="7" fillId="0" borderId="0" xfId="3" applyNumberFormat="1" applyFont="1" applyAlignment="1">
      <alignment wrapText="1"/>
    </xf>
    <xf numFmtId="0" fontId="7" fillId="2" borderId="18" xfId="0" applyFont="1" applyFill="1" applyBorder="1" applyAlignment="1" applyProtection="1">
      <alignment horizontal="left" wrapText="1"/>
      <protection locked="0"/>
    </xf>
    <xf numFmtId="0" fontId="93" fillId="19" borderId="1" xfId="0" applyFont="1" applyFill="1" applyBorder="1" applyAlignment="1">
      <alignment horizontal="center" vertical="center" wrapText="1"/>
    </xf>
    <xf numFmtId="0" fontId="64" fillId="0" borderId="0" xfId="0" applyFont="1"/>
    <xf numFmtId="0" fontId="94" fillId="9" borderId="1" xfId="0" applyFont="1" applyFill="1" applyBorder="1" applyAlignment="1">
      <alignment horizontal="center" vertical="center"/>
    </xf>
    <xf numFmtId="0" fontId="93" fillId="9" borderId="1" xfId="0" applyFont="1" applyFill="1" applyBorder="1" applyAlignment="1">
      <alignment horizontal="center" vertical="center"/>
    </xf>
    <xf numFmtId="0" fontId="64" fillId="20" borderId="1" xfId="0" applyFont="1" applyFill="1" applyBorder="1" applyAlignment="1">
      <alignment horizontal="center" vertical="center"/>
    </xf>
    <xf numFmtId="0" fontId="64" fillId="20" borderId="1" xfId="0" applyFont="1" applyFill="1" applyBorder="1" applyAlignment="1">
      <alignment horizontal="center" vertical="center" wrapText="1"/>
    </xf>
    <xf numFmtId="0" fontId="64" fillId="9" borderId="0" xfId="0" applyFont="1" applyFill="1" applyAlignment="1">
      <alignment horizontal="center" vertical="center" wrapText="1"/>
    </xf>
    <xf numFmtId="0" fontId="64" fillId="13" borderId="1" xfId="0" applyFont="1" applyFill="1" applyBorder="1" applyAlignment="1">
      <alignment horizontal="center" vertical="center"/>
    </xf>
    <xf numFmtId="0" fontId="64" fillId="13" borderId="1" xfId="0" applyFont="1" applyFill="1" applyBorder="1" applyAlignment="1">
      <alignment horizontal="center" vertical="center" wrapText="1"/>
    </xf>
    <xf numFmtId="0" fontId="64" fillId="13" borderId="1" xfId="0" quotePrefix="1" applyFont="1" applyFill="1" applyBorder="1" applyAlignment="1">
      <alignment horizontal="center" vertical="center" wrapText="1"/>
    </xf>
    <xf numFmtId="164" fontId="7" fillId="3" borderId="1" xfId="4" applyNumberFormat="1" applyFont="1" applyFill="1" applyBorder="1" applyAlignment="1" applyProtection="1">
      <alignment vertical="center" wrapText="1"/>
      <protection locked="0"/>
    </xf>
    <xf numFmtId="170" fontId="7" fillId="2" borderId="1" xfId="0" applyNumberFormat="1" applyFont="1" applyFill="1" applyBorder="1" applyAlignment="1" applyProtection="1">
      <alignment vertical="center" wrapText="1"/>
      <protection locked="0"/>
    </xf>
    <xf numFmtId="0" fontId="77" fillId="2" borderId="0" xfId="0" applyFont="1" applyFill="1" applyAlignment="1">
      <alignment vertical="center" wrapText="1"/>
    </xf>
    <xf numFmtId="164" fontId="83" fillId="3" borderId="1" xfId="0" applyNumberFormat="1" applyFont="1" applyFill="1" applyBorder="1" applyAlignment="1">
      <alignment horizontal="right" vertical="center" wrapText="1"/>
    </xf>
    <xf numFmtId="0" fontId="16" fillId="2" borderId="10" xfId="0" applyFont="1" applyFill="1" applyBorder="1" applyAlignment="1" applyProtection="1">
      <alignment horizontal="left" vertical="center" wrapText="1"/>
      <protection locked="0"/>
    </xf>
    <xf numFmtId="0" fontId="16" fillId="19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164" fontId="7" fillId="0" borderId="1" xfId="4" applyNumberFormat="1" applyFont="1" applyFill="1" applyBorder="1" applyAlignment="1" applyProtection="1">
      <alignment vertical="center" wrapText="1"/>
      <protection locked="0"/>
    </xf>
    <xf numFmtId="0" fontId="17" fillId="0" borderId="10" xfId="0" applyFont="1" applyFill="1" applyBorder="1" applyAlignment="1">
      <alignment horizontal="right" vertical="center" wrapText="1"/>
    </xf>
    <xf numFmtId="164" fontId="17" fillId="0" borderId="10" xfId="4" applyNumberFormat="1" applyFont="1" applyFill="1" applyBorder="1" applyAlignment="1">
      <alignment horizontal="right" vertical="center" wrapText="1"/>
    </xf>
    <xf numFmtId="0" fontId="7" fillId="0" borderId="10" xfId="0" applyFont="1" applyFill="1" applyBorder="1" applyAlignment="1" applyProtection="1">
      <alignment vertical="center" wrapText="1"/>
      <protection locked="0"/>
    </xf>
    <xf numFmtId="164" fontId="34" fillId="0" borderId="10" xfId="4" applyNumberFormat="1" applyFont="1" applyFill="1" applyBorder="1" applyAlignment="1">
      <alignment horizontal="right" vertical="center" wrapText="1"/>
    </xf>
    <xf numFmtId="164" fontId="13" fillId="8" borderId="11" xfId="4" applyNumberFormat="1" applyFont="1" applyFill="1" applyBorder="1" applyAlignment="1">
      <alignment vertical="center" wrapText="1"/>
    </xf>
    <xf numFmtId="172" fontId="4" fillId="3" borderId="1" xfId="0" applyNumberFormat="1" applyFont="1" applyFill="1" applyBorder="1" applyAlignment="1">
      <alignment vertical="center" wrapText="1"/>
    </xf>
    <xf numFmtId="0" fontId="7" fillId="2" borderId="10" xfId="0" applyFont="1" applyFill="1" applyBorder="1" applyAlignment="1" applyProtection="1">
      <alignment vertical="center" wrapText="1"/>
      <protection locked="0"/>
    </xf>
    <xf numFmtId="41" fontId="4" fillId="3" borderId="3" xfId="0" applyNumberFormat="1" applyFont="1" applyFill="1" applyBorder="1" applyAlignment="1">
      <alignment vertical="center" wrapText="1"/>
    </xf>
    <xf numFmtId="172" fontId="4" fillId="3" borderId="87" xfId="0" applyNumberFormat="1" applyFont="1" applyFill="1" applyBorder="1" applyAlignment="1">
      <alignment vertical="center" wrapText="1"/>
    </xf>
    <xf numFmtId="172" fontId="4" fillId="3" borderId="88" xfId="0" applyNumberFormat="1" applyFont="1" applyFill="1" applyBorder="1" applyAlignment="1">
      <alignment vertical="center" wrapText="1"/>
    </xf>
    <xf numFmtId="172" fontId="5" fillId="3" borderId="88" xfId="0" applyNumberFormat="1" applyFont="1" applyFill="1" applyBorder="1" applyAlignment="1" applyProtection="1">
      <alignment vertical="center" wrapText="1"/>
      <protection locked="0"/>
    </xf>
    <xf numFmtId="172" fontId="5" fillId="2" borderId="88" xfId="0" applyNumberFormat="1" applyFont="1" applyFill="1" applyBorder="1" applyAlignment="1" applyProtection="1">
      <alignment vertical="center" wrapText="1"/>
      <protection locked="0"/>
    </xf>
    <xf numFmtId="172" fontId="4" fillId="3" borderId="88" xfId="0" applyNumberFormat="1" applyFont="1" applyFill="1" applyBorder="1" applyAlignment="1" applyProtection="1">
      <alignment vertical="center" wrapText="1"/>
      <protection locked="0"/>
    </xf>
    <xf numFmtId="172" fontId="4" fillId="3" borderId="89" xfId="0" applyNumberFormat="1" applyFont="1" applyFill="1" applyBorder="1" applyAlignment="1">
      <alignment vertical="center" wrapText="1"/>
    </xf>
    <xf numFmtId="172" fontId="19" fillId="22" borderId="32" xfId="0" applyNumberFormat="1" applyFont="1" applyFill="1" applyBorder="1" applyAlignment="1">
      <alignment vertical="center" wrapText="1"/>
    </xf>
    <xf numFmtId="172" fontId="4" fillId="2" borderId="4" xfId="0" applyNumberFormat="1" applyFont="1" applyFill="1" applyBorder="1" applyAlignment="1">
      <alignment vertical="center" wrapText="1"/>
    </xf>
    <xf numFmtId="172" fontId="4" fillId="3" borderId="88" xfId="0" applyNumberFormat="1" applyFont="1" applyFill="1" applyBorder="1" applyAlignment="1" applyProtection="1">
      <alignment vertical="center"/>
      <protection locked="0"/>
    </xf>
    <xf numFmtId="43" fontId="15" fillId="0" borderId="0" xfId="0" applyNumberFormat="1" applyFont="1" applyAlignment="1">
      <alignment vertical="center" wrapText="1"/>
    </xf>
    <xf numFmtId="172" fontId="4" fillId="3" borderId="13" xfId="0" applyNumberFormat="1" applyFont="1" applyFill="1" applyBorder="1" applyAlignment="1">
      <alignment vertical="center" wrapText="1"/>
    </xf>
    <xf numFmtId="172" fontId="5" fillId="3" borderId="1" xfId="0" applyNumberFormat="1" applyFont="1" applyFill="1" applyBorder="1" applyAlignment="1" applyProtection="1">
      <alignment vertical="center" wrapText="1"/>
      <protection locked="0"/>
    </xf>
    <xf numFmtId="172" fontId="5" fillId="3" borderId="13" xfId="0" applyNumberFormat="1" applyFont="1" applyFill="1" applyBorder="1" applyAlignment="1" applyProtection="1">
      <alignment vertical="center" wrapText="1"/>
      <protection locked="0"/>
    </xf>
    <xf numFmtId="172" fontId="5" fillId="2" borderId="1" xfId="0" applyNumberFormat="1" applyFont="1" applyFill="1" applyBorder="1" applyAlignment="1" applyProtection="1">
      <alignment vertical="center" wrapText="1"/>
      <protection locked="0"/>
    </xf>
    <xf numFmtId="172" fontId="4" fillId="3" borderId="1" xfId="0" applyNumberFormat="1" applyFont="1" applyFill="1" applyBorder="1" applyAlignment="1" applyProtection="1">
      <alignment vertical="center" wrapText="1"/>
      <protection locked="0"/>
    </xf>
    <xf numFmtId="172" fontId="4" fillId="3" borderId="13" xfId="0" applyNumberFormat="1" applyFont="1" applyFill="1" applyBorder="1" applyAlignment="1" applyProtection="1">
      <alignment vertical="center" wrapText="1"/>
      <protection locked="0"/>
    </xf>
    <xf numFmtId="172" fontId="5" fillId="2" borderId="1" xfId="0" applyNumberFormat="1" applyFont="1" applyFill="1" applyBorder="1" applyAlignment="1" applyProtection="1">
      <alignment vertical="center"/>
      <protection locked="0"/>
    </xf>
    <xf numFmtId="172" fontId="5" fillId="2" borderId="13" xfId="0" applyNumberFormat="1" applyFont="1" applyFill="1" applyBorder="1" applyAlignment="1" applyProtection="1">
      <alignment vertical="center"/>
      <protection locked="0"/>
    </xf>
    <xf numFmtId="172" fontId="4" fillId="2" borderId="1" xfId="0" applyNumberFormat="1" applyFont="1" applyFill="1" applyBorder="1" applyAlignment="1" applyProtection="1">
      <alignment vertical="center"/>
      <protection locked="0"/>
    </xf>
    <xf numFmtId="172" fontId="4" fillId="2" borderId="13" xfId="0" applyNumberFormat="1" applyFont="1" applyFill="1" applyBorder="1" applyAlignment="1" applyProtection="1">
      <alignment vertical="center"/>
      <protection locked="0"/>
    </xf>
    <xf numFmtId="172" fontId="4" fillId="2" borderId="1" xfId="0" applyNumberFormat="1" applyFont="1" applyFill="1" applyBorder="1" applyAlignment="1" applyProtection="1">
      <alignment vertical="center" wrapText="1"/>
      <protection locked="0"/>
    </xf>
    <xf numFmtId="172" fontId="4" fillId="2" borderId="13" xfId="0" applyNumberFormat="1" applyFont="1" applyFill="1" applyBorder="1" applyAlignment="1" applyProtection="1">
      <alignment vertical="center" wrapText="1"/>
      <protection locked="0"/>
    </xf>
    <xf numFmtId="172" fontId="19" fillId="22" borderId="1" xfId="0" applyNumberFormat="1" applyFont="1" applyFill="1" applyBorder="1" applyAlignment="1">
      <alignment vertical="center" wrapText="1"/>
    </xf>
    <xf numFmtId="172" fontId="4" fillId="3" borderId="1" xfId="0" applyNumberFormat="1" applyFont="1" applyFill="1" applyBorder="1" applyAlignment="1" applyProtection="1">
      <alignment vertical="center"/>
      <protection locked="0"/>
    </xf>
    <xf numFmtId="172" fontId="4" fillId="3" borderId="13" xfId="0" applyNumberFormat="1" applyFont="1" applyFill="1" applyBorder="1" applyAlignment="1" applyProtection="1">
      <alignment vertical="center"/>
      <protection locked="0"/>
    </xf>
    <xf numFmtId="172" fontId="4" fillId="2" borderId="1" xfId="0" applyNumberFormat="1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172" fontId="5" fillId="0" borderId="13" xfId="0" applyNumberFormat="1" applyFont="1" applyFill="1" applyBorder="1" applyAlignment="1" applyProtection="1">
      <alignment vertical="center"/>
      <protection locked="0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vertical="center" wrapText="1"/>
    </xf>
    <xf numFmtId="164" fontId="45" fillId="0" borderId="0" xfId="4" applyFont="1"/>
    <xf numFmtId="164" fontId="45" fillId="2" borderId="0" xfId="4" applyFont="1" applyFill="1" applyAlignment="1"/>
    <xf numFmtId="164" fontId="45" fillId="2" borderId="0" xfId="4" applyFont="1" applyFill="1" applyAlignment="1">
      <alignment horizontal="center"/>
    </xf>
    <xf numFmtId="164" fontId="77" fillId="2" borderId="0" xfId="4" applyFont="1" applyFill="1"/>
    <xf numFmtId="164" fontId="77" fillId="2" borderId="24" xfId="4" applyFont="1" applyFill="1" applyBorder="1" applyAlignment="1">
      <alignment vertical="center" wrapText="1"/>
    </xf>
    <xf numFmtId="43" fontId="0" fillId="0" borderId="0" xfId="0" applyNumberFormat="1" applyBorder="1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43" fontId="0" fillId="24" borderId="0" xfId="0" applyNumberFormat="1" applyFill="1" applyBorder="1"/>
    <xf numFmtId="43" fontId="0" fillId="25" borderId="0" xfId="0" applyNumberFormat="1" applyFill="1" applyBorder="1"/>
    <xf numFmtId="43" fontId="0" fillId="18" borderId="0" xfId="0" applyNumberFormat="1" applyFill="1" applyBorder="1"/>
    <xf numFmtId="164" fontId="33" fillId="0" borderId="1" xfId="4" applyNumberFormat="1" applyFont="1" applyFill="1" applyBorder="1" applyAlignment="1" applyProtection="1">
      <alignment vertical="center" wrapText="1"/>
      <protection locked="0"/>
    </xf>
    <xf numFmtId="164" fontId="33" fillId="2" borderId="1" xfId="4" applyNumberFormat="1" applyFont="1" applyFill="1" applyBorder="1" applyAlignment="1" applyProtection="1">
      <alignment vertical="center" wrapText="1"/>
      <protection locked="0"/>
    </xf>
    <xf numFmtId="172" fontId="21" fillId="17" borderId="1" xfId="0" applyNumberFormat="1" applyFont="1" applyFill="1" applyBorder="1" applyAlignment="1" applyProtection="1">
      <alignment vertical="center" wrapText="1"/>
      <protection locked="0"/>
    </xf>
    <xf numFmtId="172" fontId="13" fillId="8" borderId="11" xfId="4" applyNumberFormat="1" applyFont="1" applyFill="1" applyBorder="1" applyAlignment="1">
      <alignment vertical="center" wrapText="1"/>
    </xf>
    <xf numFmtId="0" fontId="21" fillId="0" borderId="1" xfId="0" applyFont="1" applyFill="1" applyBorder="1" applyAlignment="1" applyProtection="1">
      <alignment horizontal="center" vertical="center" wrapText="1"/>
      <protection locked="0"/>
    </xf>
    <xf numFmtId="172" fontId="4" fillId="0" borderId="13" xfId="0" applyNumberFormat="1" applyFont="1" applyFill="1" applyBorder="1" applyAlignment="1" applyProtection="1">
      <alignment vertical="center"/>
      <protection locked="0"/>
    </xf>
    <xf numFmtId="172" fontId="5" fillId="0" borderId="13" xfId="0" applyNumberFormat="1" applyFont="1" applyFill="1" applyBorder="1" applyAlignment="1" applyProtection="1">
      <alignment vertical="center" wrapText="1"/>
      <protection locked="0"/>
    </xf>
    <xf numFmtId="172" fontId="5" fillId="0" borderId="88" xfId="0" applyNumberFormat="1" applyFont="1" applyFill="1" applyBorder="1" applyAlignment="1" applyProtection="1">
      <alignment vertical="center" wrapText="1"/>
      <protection locked="0"/>
    </xf>
    <xf numFmtId="165" fontId="14" fillId="19" borderId="3" xfId="0" applyNumberFormat="1" applyFont="1" applyFill="1" applyBorder="1" applyAlignment="1" applyProtection="1">
      <alignment horizontal="center" vertical="center" wrapText="1"/>
    </xf>
    <xf numFmtId="172" fontId="5" fillId="27" borderId="88" xfId="0" applyNumberFormat="1" applyFont="1" applyFill="1" applyBorder="1" applyAlignment="1" applyProtection="1">
      <alignment vertical="center" wrapText="1"/>
      <protection locked="0"/>
    </xf>
    <xf numFmtId="172" fontId="5" fillId="0" borderId="90" xfId="0" applyNumberFormat="1" applyFont="1" applyFill="1" applyBorder="1" applyAlignment="1" applyProtection="1">
      <alignment vertical="center" wrapText="1"/>
      <protection locked="0"/>
    </xf>
    <xf numFmtId="41" fontId="19" fillId="9" borderId="13" xfId="0" applyNumberFormat="1" applyFont="1" applyFill="1" applyBorder="1" applyAlignment="1" applyProtection="1">
      <alignment horizontal="center" vertical="center" wrapText="1"/>
    </xf>
    <xf numFmtId="165" fontId="34" fillId="22" borderId="32" xfId="0" applyNumberFormat="1" applyFont="1" applyFill="1" applyBorder="1" applyAlignment="1">
      <alignment vertical="center" wrapText="1"/>
    </xf>
    <xf numFmtId="41" fontId="14" fillId="19" borderId="91" xfId="0" applyNumberFormat="1" applyFont="1" applyFill="1" applyBorder="1" applyAlignment="1" applyProtection="1">
      <alignment horizontal="center" vertical="center" wrapText="1"/>
    </xf>
    <xf numFmtId="164" fontId="7" fillId="2" borderId="3" xfId="0" applyNumberFormat="1" applyFont="1" applyFill="1" applyBorder="1" applyAlignment="1" applyProtection="1">
      <alignment vertical="center" wrapText="1"/>
      <protection locked="0"/>
    </xf>
    <xf numFmtId="164" fontId="17" fillId="19" borderId="3" xfId="4" applyNumberFormat="1" applyFont="1" applyFill="1" applyBorder="1" applyAlignment="1">
      <alignment horizontal="right" vertical="center" wrapText="1"/>
    </xf>
    <xf numFmtId="0" fontId="15" fillId="2" borderId="3" xfId="0" applyFont="1" applyFill="1" applyBorder="1" applyAlignment="1">
      <alignment horizontal="left" vertical="center" wrapText="1"/>
    </xf>
    <xf numFmtId="164" fontId="17" fillId="0" borderId="3" xfId="4" applyNumberFormat="1" applyFont="1" applyFill="1" applyBorder="1" applyAlignment="1">
      <alignment horizontal="right" vertical="center" wrapText="1"/>
    </xf>
    <xf numFmtId="0" fontId="7" fillId="2" borderId="19" xfId="0" applyFont="1" applyFill="1" applyBorder="1" applyAlignment="1" applyProtection="1">
      <alignment horizontal="left" wrapText="1"/>
      <protection locked="0"/>
    </xf>
    <xf numFmtId="0" fontId="7" fillId="0" borderId="25" xfId="0" applyFont="1" applyBorder="1" applyAlignment="1">
      <alignment wrapText="1"/>
    </xf>
    <xf numFmtId="0" fontId="16" fillId="26" borderId="1" xfId="0" applyFont="1" applyFill="1" applyBorder="1" applyAlignment="1">
      <alignment horizontal="center" vertical="center" wrapText="1"/>
    </xf>
    <xf numFmtId="0" fontId="34" fillId="26" borderId="1" xfId="0" applyFont="1" applyFill="1" applyBorder="1" applyAlignment="1">
      <alignment horizontal="center" vertical="center" wrapText="1"/>
    </xf>
    <xf numFmtId="0" fontId="20" fillId="19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68" fillId="0" borderId="14" xfId="15" applyBorder="1" applyAlignment="1">
      <alignment horizontal="left" vertical="center" wrapText="1"/>
    </xf>
    <xf numFmtId="0" fontId="68" fillId="0" borderId="15" xfId="15" applyBorder="1" applyAlignment="1">
      <alignment horizontal="left" vertical="center" wrapText="1"/>
    </xf>
    <xf numFmtId="0" fontId="68" fillId="0" borderId="16" xfId="15" applyBorder="1" applyAlignment="1">
      <alignment horizontal="left" vertical="center" wrapText="1"/>
    </xf>
    <xf numFmtId="0" fontId="69" fillId="0" borderId="14" xfId="0" applyFont="1" applyBorder="1" applyAlignment="1">
      <alignment horizontal="center" vertical="center"/>
    </xf>
    <xf numFmtId="0" fontId="69" fillId="0" borderId="15" xfId="0" applyFont="1" applyBorder="1" applyAlignment="1">
      <alignment horizontal="center" vertical="center"/>
    </xf>
    <xf numFmtId="0" fontId="69" fillId="0" borderId="16" xfId="0" applyFont="1" applyBorder="1" applyAlignment="1">
      <alignment horizontal="center" vertical="center"/>
    </xf>
    <xf numFmtId="0" fontId="69" fillId="0" borderId="7" xfId="0" applyFont="1" applyBorder="1" applyAlignment="1">
      <alignment horizontal="center" vertical="center"/>
    </xf>
    <xf numFmtId="0" fontId="69" fillId="0" borderId="8" xfId="0" applyFont="1" applyBorder="1" applyAlignment="1">
      <alignment horizontal="center" vertical="center"/>
    </xf>
    <xf numFmtId="0" fontId="69" fillId="0" borderId="9" xfId="0" applyFont="1" applyBorder="1" applyAlignment="1">
      <alignment horizontal="center" vertical="center"/>
    </xf>
    <xf numFmtId="0" fontId="36" fillId="9" borderId="5" xfId="0" applyFont="1" applyFill="1" applyBorder="1" applyAlignment="1">
      <alignment horizontal="center"/>
    </xf>
    <xf numFmtId="0" fontId="36" fillId="9" borderId="0" xfId="0" applyFont="1" applyFill="1" applyBorder="1" applyAlignment="1">
      <alignment horizontal="center"/>
    </xf>
    <xf numFmtId="0" fontId="36" fillId="9" borderId="6" xfId="0" applyFont="1" applyFill="1" applyBorder="1" applyAlignment="1">
      <alignment horizontal="center"/>
    </xf>
    <xf numFmtId="0" fontId="36" fillId="0" borderId="21" xfId="0" applyFont="1" applyBorder="1" applyAlignment="1">
      <alignment horizontal="left" vertical="center" wrapText="1"/>
    </xf>
    <xf numFmtId="0" fontId="36" fillId="0" borderId="22" xfId="0" applyFont="1" applyBorder="1" applyAlignment="1">
      <alignment horizontal="left" vertical="center" wrapText="1"/>
    </xf>
    <xf numFmtId="0" fontId="36" fillId="0" borderId="23" xfId="0" applyFont="1" applyBorder="1" applyAlignment="1">
      <alignment horizontal="left" vertical="center" wrapText="1"/>
    </xf>
    <xf numFmtId="0" fontId="36" fillId="0" borderId="21" xfId="0" applyFont="1" applyBorder="1" applyAlignment="1">
      <alignment horizontal="left" vertical="center"/>
    </xf>
    <xf numFmtId="0" fontId="36" fillId="0" borderId="22" xfId="0" applyFont="1" applyBorder="1" applyAlignment="1">
      <alignment horizontal="left" vertical="center"/>
    </xf>
    <xf numFmtId="0" fontId="36" fillId="0" borderId="23" xfId="0" applyFont="1" applyBorder="1" applyAlignment="1">
      <alignment horizontal="left" vertical="center"/>
    </xf>
    <xf numFmtId="0" fontId="68" fillId="9" borderId="21" xfId="15" applyFill="1" applyBorder="1" applyAlignment="1">
      <alignment horizontal="left" vertical="center" wrapText="1"/>
    </xf>
    <xf numFmtId="0" fontId="68" fillId="9" borderId="22" xfId="15" applyFill="1" applyBorder="1" applyAlignment="1">
      <alignment horizontal="left" vertical="center" wrapText="1"/>
    </xf>
    <xf numFmtId="0" fontId="68" fillId="9" borderId="23" xfId="15" applyFill="1" applyBorder="1" applyAlignment="1">
      <alignment horizontal="left" vertical="center" wrapText="1"/>
    </xf>
    <xf numFmtId="0" fontId="36" fillId="9" borderId="7" xfId="0" applyFont="1" applyFill="1" applyBorder="1" applyAlignment="1">
      <alignment horizontal="left" vertical="center" wrapText="1"/>
    </xf>
    <xf numFmtId="0" fontId="36" fillId="9" borderId="8" xfId="0" applyFont="1" applyFill="1" applyBorder="1" applyAlignment="1">
      <alignment horizontal="left" vertical="center" wrapText="1"/>
    </xf>
    <xf numFmtId="0" fontId="36" fillId="9" borderId="9" xfId="0" applyFont="1" applyFill="1" applyBorder="1" applyAlignment="1">
      <alignment horizontal="left" vertical="center" wrapText="1"/>
    </xf>
    <xf numFmtId="0" fontId="68" fillId="0" borderId="21" xfId="15" applyBorder="1" applyAlignment="1">
      <alignment horizontal="left" vertical="center" wrapText="1"/>
    </xf>
    <xf numFmtId="0" fontId="68" fillId="0" borderId="22" xfId="15" applyBorder="1" applyAlignment="1">
      <alignment horizontal="left" vertical="center" wrapText="1"/>
    </xf>
    <xf numFmtId="0" fontId="68" fillId="0" borderId="23" xfId="15" applyBorder="1" applyAlignment="1">
      <alignment horizontal="left" vertical="center" wrapText="1"/>
    </xf>
    <xf numFmtId="0" fontId="36" fillId="2" borderId="7" xfId="0" applyFont="1" applyFill="1" applyBorder="1" applyAlignment="1">
      <alignment horizontal="left" vertical="center" wrapText="1"/>
    </xf>
    <xf numFmtId="0" fontId="36" fillId="2" borderId="8" xfId="0" applyFont="1" applyFill="1" applyBorder="1" applyAlignment="1">
      <alignment horizontal="left" vertical="center" wrapText="1"/>
    </xf>
    <xf numFmtId="0" fontId="36" fillId="2" borderId="9" xfId="0" applyFont="1" applyFill="1" applyBorder="1" applyAlignment="1">
      <alignment horizontal="left" vertical="center" wrapText="1"/>
    </xf>
    <xf numFmtId="0" fontId="36" fillId="0" borderId="7" xfId="0" applyFont="1" applyBorder="1" applyAlignment="1">
      <alignment horizontal="left" vertical="center" wrapText="1"/>
    </xf>
    <xf numFmtId="0" fontId="36" fillId="0" borderId="8" xfId="0" applyFont="1" applyBorder="1" applyAlignment="1">
      <alignment horizontal="left" vertical="center" wrapText="1"/>
    </xf>
    <xf numFmtId="0" fontId="36" fillId="0" borderId="9" xfId="0" applyFont="1" applyBorder="1" applyAlignment="1">
      <alignment horizontal="left" vertical="center" wrapText="1"/>
    </xf>
    <xf numFmtId="168" fontId="8" fillId="2" borderId="24" xfId="4" applyNumberFormat="1" applyFont="1" applyFill="1" applyBorder="1" applyAlignment="1">
      <alignment horizontal="left" vertical="center" wrapText="1"/>
    </xf>
    <xf numFmtId="168" fontId="8" fillId="2" borderId="0" xfId="4" applyNumberFormat="1" applyFont="1" applyFill="1" applyBorder="1" applyAlignment="1">
      <alignment horizontal="left" vertical="center" wrapText="1"/>
    </xf>
    <xf numFmtId="0" fontId="13" fillId="19" borderId="5" xfId="0" applyFont="1" applyFill="1" applyBorder="1" applyAlignment="1">
      <alignment horizontal="center" vertical="center"/>
    </xf>
    <xf numFmtId="0" fontId="13" fillId="19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left" wrapText="1"/>
    </xf>
    <xf numFmtId="0" fontId="4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left" vertical="top" wrapText="1"/>
    </xf>
    <xf numFmtId="0" fontId="0" fillId="9" borderId="0" xfId="0" applyFill="1" applyAlignment="1">
      <alignment horizontal="left" vertical="top" wrapText="1"/>
    </xf>
    <xf numFmtId="0" fontId="55" fillId="19" borderId="46" xfId="0" applyFont="1" applyFill="1" applyBorder="1" applyAlignment="1">
      <alignment horizontal="left" vertical="center" wrapText="1"/>
    </xf>
    <xf numFmtId="0" fontId="55" fillId="19" borderId="47" xfId="0" applyFont="1" applyFill="1" applyBorder="1" applyAlignment="1">
      <alignment horizontal="left" vertical="center" wrapText="1"/>
    </xf>
    <xf numFmtId="0" fontId="55" fillId="19" borderId="48" xfId="0" applyFont="1" applyFill="1" applyBorder="1" applyAlignment="1">
      <alignment horizontal="left" vertical="center" wrapText="1"/>
    </xf>
    <xf numFmtId="0" fontId="55" fillId="19" borderId="50" xfId="0" applyFont="1" applyFill="1" applyBorder="1" applyAlignment="1">
      <alignment horizontal="center" vertical="center" wrapText="1"/>
    </xf>
    <xf numFmtId="0" fontId="55" fillId="19" borderId="51" xfId="0" applyFont="1" applyFill="1" applyBorder="1" applyAlignment="1">
      <alignment horizontal="center" vertical="center" wrapText="1"/>
    </xf>
    <xf numFmtId="0" fontId="76" fillId="0" borderId="38" xfId="0" applyFont="1" applyBorder="1" applyAlignment="1">
      <alignment horizontal="left" vertical="center" wrapText="1"/>
    </xf>
    <xf numFmtId="0" fontId="76" fillId="0" borderId="43" xfId="0" applyFont="1" applyBorder="1" applyAlignment="1">
      <alignment horizontal="left" vertical="center" wrapText="1"/>
    </xf>
    <xf numFmtId="0" fontId="76" fillId="0" borderId="40" xfId="0" applyFont="1" applyBorder="1" applyAlignment="1">
      <alignment horizontal="center" vertical="center" wrapText="1"/>
    </xf>
    <xf numFmtId="0" fontId="76" fillId="0" borderId="44" xfId="0" applyFont="1" applyBorder="1" applyAlignment="1">
      <alignment horizontal="center" vertical="center" wrapText="1"/>
    </xf>
    <xf numFmtId="0" fontId="76" fillId="0" borderId="41" xfId="0" applyFont="1" applyBorder="1" applyAlignment="1">
      <alignment horizontal="center" vertical="center" wrapText="1"/>
    </xf>
    <xf numFmtId="9" fontId="76" fillId="0" borderId="2" xfId="3" applyFont="1" applyBorder="1" applyAlignment="1">
      <alignment horizontal="center" vertical="center" wrapText="1"/>
    </xf>
    <xf numFmtId="9" fontId="76" fillId="0" borderId="45" xfId="3" applyFont="1" applyBorder="1" applyAlignment="1">
      <alignment horizontal="center" vertical="center" wrapText="1"/>
    </xf>
    <xf numFmtId="9" fontId="45" fillId="2" borderId="42" xfId="3" applyFont="1" applyFill="1" applyBorder="1" applyAlignment="1">
      <alignment horizontal="center" vertical="center" wrapText="1"/>
    </xf>
    <xf numFmtId="0" fontId="75" fillId="9" borderId="5" xfId="0" applyFont="1" applyFill="1" applyBorder="1" applyAlignment="1">
      <alignment horizontal="left" vertical="center" wrapText="1"/>
    </xf>
    <xf numFmtId="0" fontId="75" fillId="9" borderId="0" xfId="0" applyFont="1" applyFill="1" applyBorder="1" applyAlignment="1">
      <alignment horizontal="left" vertical="center" wrapText="1"/>
    </xf>
    <xf numFmtId="0" fontId="55" fillId="19" borderId="1" xfId="0" applyFont="1" applyFill="1" applyBorder="1" applyAlignment="1">
      <alignment horizontal="left" vertical="center"/>
    </xf>
    <xf numFmtId="0" fontId="55" fillId="19" borderId="34" xfId="0" applyFont="1" applyFill="1" applyBorder="1" applyAlignment="1">
      <alignment horizontal="left" vertical="center" wrapText="1"/>
    </xf>
    <xf numFmtId="0" fontId="55" fillId="19" borderId="35" xfId="0" applyFont="1" applyFill="1" applyBorder="1" applyAlignment="1">
      <alignment horizontal="left" vertical="center" wrapText="1"/>
    </xf>
    <xf numFmtId="0" fontId="55" fillId="19" borderId="36" xfId="0" applyFont="1" applyFill="1" applyBorder="1" applyAlignment="1">
      <alignment horizontal="left" vertical="center" wrapText="1"/>
    </xf>
    <xf numFmtId="0" fontId="55" fillId="19" borderId="37" xfId="0" applyFont="1" applyFill="1" applyBorder="1" applyAlignment="1">
      <alignment horizontal="left" vertical="center" wrapText="1"/>
    </xf>
    <xf numFmtId="0" fontId="55" fillId="19" borderId="26" xfId="0" applyFont="1" applyFill="1" applyBorder="1" applyAlignment="1">
      <alignment horizontal="center" vertical="center" wrapText="1"/>
    </xf>
    <xf numFmtId="0" fontId="55" fillId="19" borderId="28" xfId="0" applyFont="1" applyFill="1" applyBorder="1" applyAlignment="1">
      <alignment horizontal="center" vertical="center" wrapText="1"/>
    </xf>
    <xf numFmtId="0" fontId="76" fillId="0" borderId="56" xfId="0" applyFont="1" applyBorder="1" applyAlignment="1">
      <alignment horizontal="center" vertical="top" wrapText="1"/>
    </xf>
    <xf numFmtId="0" fontId="76" fillId="0" borderId="44" xfId="0" applyFont="1" applyBorder="1" applyAlignment="1">
      <alignment horizontal="center" vertical="top" wrapText="1"/>
    </xf>
    <xf numFmtId="0" fontId="76" fillId="0" borderId="54" xfId="0" applyFont="1" applyBorder="1" applyAlignment="1">
      <alignment horizontal="center" wrapText="1"/>
    </xf>
    <xf numFmtId="0" fontId="76" fillId="0" borderId="55" xfId="0" applyFont="1" applyBorder="1" applyAlignment="1">
      <alignment horizontal="center" wrapText="1"/>
    </xf>
    <xf numFmtId="2" fontId="76" fillId="0" borderId="2" xfId="3" applyNumberFormat="1" applyFont="1" applyBorder="1" applyAlignment="1">
      <alignment horizontal="center" vertical="center" wrapText="1"/>
    </xf>
    <xf numFmtId="2" fontId="76" fillId="0" borderId="45" xfId="3" applyNumberFormat="1" applyFont="1" applyBorder="1" applyAlignment="1">
      <alignment horizontal="center" vertical="center" wrapText="1"/>
    </xf>
    <xf numFmtId="2" fontId="45" fillId="2" borderId="42" xfId="3" applyNumberFormat="1" applyFont="1" applyFill="1" applyBorder="1" applyAlignment="1">
      <alignment horizontal="center" vertical="center" wrapText="1"/>
    </xf>
    <xf numFmtId="0" fontId="55" fillId="19" borderId="57" xfId="0" applyFont="1" applyFill="1" applyBorder="1" applyAlignment="1">
      <alignment horizontal="center" vertical="center" wrapText="1"/>
    </xf>
    <xf numFmtId="0" fontId="76" fillId="2" borderId="59" xfId="0" applyFont="1" applyFill="1" applyBorder="1" applyAlignment="1">
      <alignment horizontal="left" vertical="center" wrapText="1"/>
    </xf>
    <xf numFmtId="0" fontId="76" fillId="2" borderId="20" xfId="0" applyFont="1" applyFill="1" applyBorder="1" applyAlignment="1">
      <alignment horizontal="left" vertical="center" wrapText="1"/>
    </xf>
    <xf numFmtId="0" fontId="76" fillId="0" borderId="39" xfId="0" applyFont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/>
    </xf>
    <xf numFmtId="0" fontId="76" fillId="2" borderId="45" xfId="0" applyFont="1" applyFill="1" applyBorder="1" applyAlignment="1">
      <alignment horizontal="center" vertical="center"/>
    </xf>
    <xf numFmtId="0" fontId="76" fillId="0" borderId="58" xfId="0" applyFont="1" applyBorder="1" applyAlignment="1">
      <alignment horizontal="left" vertical="center" wrapText="1"/>
    </xf>
    <xf numFmtId="0" fontId="76" fillId="2" borderId="24" xfId="0" applyFont="1" applyFill="1" applyBorder="1" applyAlignment="1">
      <alignment horizontal="center" vertical="top" wrapText="1"/>
    </xf>
    <xf numFmtId="0" fontId="76" fillId="2" borderId="25" xfId="0" applyFont="1" applyFill="1" applyBorder="1" applyAlignment="1">
      <alignment horizontal="center" vertical="top" wrapText="1"/>
    </xf>
    <xf numFmtId="0" fontId="76" fillId="2" borderId="12" xfId="0" applyFont="1" applyFill="1" applyBorder="1" applyAlignment="1">
      <alignment horizontal="left" vertical="center" wrapText="1"/>
    </xf>
    <xf numFmtId="0" fontId="76" fillId="2" borderId="40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center" vertical="center" wrapText="1"/>
    </xf>
    <xf numFmtId="0" fontId="76" fillId="2" borderId="60" xfId="0" applyFont="1" applyFill="1" applyBorder="1" applyAlignment="1">
      <alignment horizontal="center" vertical="center"/>
    </xf>
    <xf numFmtId="0" fontId="76" fillId="2" borderId="26" xfId="0" applyFont="1" applyFill="1" applyBorder="1" applyAlignment="1">
      <alignment horizontal="center" wrapText="1"/>
    </xf>
    <xf numFmtId="0" fontId="76" fillId="2" borderId="28" xfId="0" applyFont="1" applyFill="1" applyBorder="1" applyAlignment="1">
      <alignment horizontal="center" wrapText="1"/>
    </xf>
    <xf numFmtId="0" fontId="76" fillId="2" borderId="63" xfId="0" applyFont="1" applyFill="1" applyBorder="1" applyAlignment="1">
      <alignment horizontal="center" vertical="center" wrapText="1"/>
    </xf>
    <xf numFmtId="0" fontId="76" fillId="2" borderId="65" xfId="0" applyFont="1" applyFill="1" applyBorder="1" applyAlignment="1">
      <alignment horizontal="center" vertical="center" wrapText="1"/>
    </xf>
    <xf numFmtId="0" fontId="76" fillId="2" borderId="64" xfId="0" applyFont="1" applyFill="1" applyBorder="1" applyAlignment="1">
      <alignment horizontal="center" vertical="center" wrapText="1"/>
    </xf>
    <xf numFmtId="0" fontId="76" fillId="2" borderId="66" xfId="0" applyFont="1" applyFill="1" applyBorder="1" applyAlignment="1">
      <alignment horizontal="center" vertical="center" wrapText="1"/>
    </xf>
    <xf numFmtId="0" fontId="45" fillId="2" borderId="61" xfId="0" applyFont="1" applyFill="1" applyBorder="1" applyAlignment="1">
      <alignment horizontal="center" vertical="center" wrapText="1"/>
    </xf>
    <xf numFmtId="0" fontId="45" fillId="2" borderId="40" xfId="0" applyFont="1" applyFill="1" applyBorder="1" applyAlignment="1">
      <alignment horizontal="center" vertical="center" wrapText="1"/>
    </xf>
    <xf numFmtId="169" fontId="76" fillId="2" borderId="2" xfId="4" applyNumberFormat="1" applyFont="1" applyFill="1" applyBorder="1" applyAlignment="1">
      <alignment horizontal="center" vertical="center" wrapText="1"/>
    </xf>
    <xf numFmtId="169" fontId="76" fillId="2" borderId="4" xfId="4" applyNumberFormat="1" applyFont="1" applyFill="1" applyBorder="1" applyAlignment="1">
      <alignment horizontal="center" vertical="center" wrapText="1"/>
    </xf>
    <xf numFmtId="0" fontId="76" fillId="2" borderId="67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" xfId="0" applyFont="1" applyFill="1" applyBorder="1" applyAlignment="1">
      <alignment horizontal="center" vertical="center" wrapText="1"/>
    </xf>
    <xf numFmtId="0" fontId="76" fillId="2" borderId="3" xfId="0" applyFont="1" applyFill="1" applyBorder="1" applyAlignment="1">
      <alignment horizontal="center" vertical="center" wrapText="1"/>
    </xf>
    <xf numFmtId="0" fontId="76" fillId="2" borderId="12" xfId="5" applyFont="1" applyFill="1" applyBorder="1" applyAlignment="1">
      <alignment horizontal="left" vertical="center" wrapText="1"/>
    </xf>
    <xf numFmtId="0" fontId="76" fillId="2" borderId="69" xfId="0" applyFont="1" applyFill="1" applyBorder="1" applyAlignment="1">
      <alignment horizontal="center" vertical="center" wrapText="1"/>
    </xf>
    <xf numFmtId="0" fontId="76" fillId="2" borderId="41" xfId="0" applyFont="1" applyFill="1" applyBorder="1" applyAlignment="1">
      <alignment horizontal="center" vertical="center" wrapText="1"/>
    </xf>
    <xf numFmtId="0" fontId="76" fillId="12" borderId="12" xfId="5" applyFont="1" applyFill="1" applyBorder="1" applyAlignment="1">
      <alignment horizontal="left" vertical="center" wrapText="1"/>
    </xf>
    <xf numFmtId="0" fontId="76" fillId="2" borderId="70" xfId="0" applyFont="1" applyFill="1" applyBorder="1" applyAlignment="1">
      <alignment horizontal="left" vertical="center" wrapText="1"/>
    </xf>
    <xf numFmtId="0" fontId="76" fillId="2" borderId="71" xfId="0" applyFont="1" applyFill="1" applyBorder="1" applyAlignment="1">
      <alignment horizontal="center" wrapText="1"/>
    </xf>
    <xf numFmtId="0" fontId="76" fillId="2" borderId="44" xfId="0" applyFont="1" applyFill="1" applyBorder="1" applyAlignment="1">
      <alignment horizontal="center" wrapText="1"/>
    </xf>
    <xf numFmtId="0" fontId="76" fillId="2" borderId="72" xfId="0" applyFont="1" applyFill="1" applyBorder="1" applyAlignment="1">
      <alignment horizontal="center" vertical="top" wrapText="1"/>
    </xf>
    <xf numFmtId="0" fontId="76" fillId="2" borderId="69" xfId="0" applyFont="1" applyFill="1" applyBorder="1" applyAlignment="1">
      <alignment horizontal="center" vertical="top" wrapText="1"/>
    </xf>
    <xf numFmtId="0" fontId="76" fillId="2" borderId="74" xfId="0" applyFont="1" applyFill="1" applyBorder="1" applyAlignment="1">
      <alignment horizontal="center" wrapText="1"/>
    </xf>
    <xf numFmtId="0" fontId="76" fillId="2" borderId="55" xfId="0" applyFont="1" applyFill="1" applyBorder="1" applyAlignment="1">
      <alignment horizontal="center" wrapText="1"/>
    </xf>
    <xf numFmtId="164" fontId="76" fillId="2" borderId="2" xfId="4" applyNumberFormat="1" applyFont="1" applyFill="1" applyBorder="1" applyAlignment="1">
      <alignment horizontal="center" vertical="center" wrapText="1"/>
    </xf>
    <xf numFmtId="164" fontId="76" fillId="2" borderId="4" xfId="4" applyNumberFormat="1" applyFont="1" applyFill="1" applyBorder="1" applyAlignment="1">
      <alignment horizontal="center" vertical="center" wrapText="1"/>
    </xf>
    <xf numFmtId="167" fontId="76" fillId="0" borderId="2" xfId="3" applyNumberFormat="1" applyFont="1" applyBorder="1" applyAlignment="1">
      <alignment horizontal="center" vertical="center" wrapText="1"/>
    </xf>
    <xf numFmtId="167" fontId="76" fillId="0" borderId="45" xfId="3" applyNumberFormat="1" applyFont="1" applyBorder="1" applyAlignment="1">
      <alignment horizontal="center" vertical="center" wrapText="1"/>
    </xf>
    <xf numFmtId="167" fontId="45" fillId="2" borderId="42" xfId="3" applyNumberFormat="1" applyFont="1" applyFill="1" applyBorder="1" applyAlignment="1">
      <alignment horizontal="center" vertical="center" wrapText="1"/>
    </xf>
    <xf numFmtId="0" fontId="76" fillId="2" borderId="41" xfId="0" applyFont="1" applyFill="1" applyBorder="1" applyAlignment="1">
      <alignment horizontal="center" vertical="top" wrapText="1"/>
    </xf>
    <xf numFmtId="0" fontId="76" fillId="2" borderId="75" xfId="0" applyFont="1" applyFill="1" applyBorder="1" applyAlignment="1">
      <alignment horizontal="center" vertical="center" wrapText="1"/>
    </xf>
    <xf numFmtId="0" fontId="76" fillId="2" borderId="76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69" xfId="0" applyFont="1" applyFill="1" applyBorder="1" applyAlignment="1">
      <alignment horizontal="center" vertical="center"/>
    </xf>
    <xf numFmtId="0" fontId="76" fillId="2" borderId="55" xfId="0" applyFont="1" applyFill="1" applyBorder="1" applyAlignment="1">
      <alignment horizontal="center" vertical="center"/>
    </xf>
    <xf numFmtId="0" fontId="76" fillId="2" borderId="79" xfId="0" applyFont="1" applyFill="1" applyBorder="1" applyAlignment="1">
      <alignment horizontal="center" vertical="center" wrapText="1"/>
    </xf>
    <xf numFmtId="0" fontId="76" fillId="2" borderId="41" xfId="0" applyFont="1" applyFill="1" applyBorder="1" applyAlignment="1">
      <alignment horizontal="center" wrapText="1"/>
    </xf>
    <xf numFmtId="0" fontId="76" fillId="2" borderId="82" xfId="0" applyFont="1" applyFill="1" applyBorder="1" applyAlignment="1">
      <alignment horizontal="left" vertical="center" wrapText="1"/>
    </xf>
    <xf numFmtId="0" fontId="76" fillId="2" borderId="44" xfId="0" applyFont="1" applyFill="1" applyBorder="1" applyAlignment="1">
      <alignment horizontal="center" vertical="center"/>
    </xf>
    <xf numFmtId="0" fontId="76" fillId="2" borderId="83" xfId="0" applyFont="1" applyFill="1" applyBorder="1" applyAlignment="1">
      <alignment horizontal="center" vertical="center"/>
    </xf>
    <xf numFmtId="0" fontId="76" fillId="2" borderId="84" xfId="0" applyFont="1" applyFill="1" applyBorder="1" applyAlignment="1">
      <alignment horizontal="center" vertical="center" wrapText="1"/>
    </xf>
    <xf numFmtId="9" fontId="76" fillId="0" borderId="85" xfId="3" applyFont="1" applyBorder="1" applyAlignment="1">
      <alignment horizontal="center" vertical="center" wrapText="1"/>
    </xf>
    <xf numFmtId="0" fontId="76" fillId="2" borderId="80" xfId="0" applyFont="1" applyFill="1" applyBorder="1" applyAlignment="1">
      <alignment horizontal="left" vertical="center" wrapText="1"/>
    </xf>
    <xf numFmtId="0" fontId="76" fillId="2" borderId="81" xfId="0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left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12" xfId="0" applyFont="1" applyFill="1" applyBorder="1" applyAlignment="1">
      <alignment horizontal="center" vertical="center" wrapText="1"/>
    </xf>
    <xf numFmtId="0" fontId="17" fillId="19" borderId="13" xfId="0" applyFont="1" applyFill="1" applyBorder="1" applyAlignment="1">
      <alignment horizontal="left" vertical="center" wrapText="1"/>
    </xf>
    <xf numFmtId="0" fontId="17" fillId="19" borderId="10" xfId="0" applyFont="1" applyFill="1" applyBorder="1" applyAlignment="1">
      <alignment horizontal="left" vertical="center" wrapText="1"/>
    </xf>
    <xf numFmtId="0" fontId="17" fillId="19" borderId="3" xfId="0" applyFont="1" applyFill="1" applyBorder="1" applyAlignment="1">
      <alignment horizontal="left" vertical="center" wrapText="1"/>
    </xf>
    <xf numFmtId="0" fontId="17" fillId="19" borderId="86" xfId="0" applyFont="1" applyFill="1" applyBorder="1" applyAlignment="1">
      <alignment horizontal="center" vertical="center" wrapText="1"/>
    </xf>
    <xf numFmtId="0" fontId="17" fillId="19" borderId="3" xfId="0" applyFont="1" applyFill="1" applyBorder="1" applyAlignment="1">
      <alignment horizontal="center" vertical="center" wrapText="1"/>
    </xf>
    <xf numFmtId="0" fontId="55" fillId="16" borderId="2" xfId="0" applyFont="1" applyFill="1" applyBorder="1" applyAlignment="1">
      <alignment horizontal="center" vertical="center" wrapText="1"/>
    </xf>
    <xf numFmtId="0" fontId="55" fillId="16" borderId="4" xfId="0" applyFont="1" applyFill="1" applyBorder="1" applyAlignment="1">
      <alignment horizontal="center" vertical="center" wrapText="1"/>
    </xf>
    <xf numFmtId="0" fontId="17" fillId="19" borderId="1" xfId="0" applyFont="1" applyFill="1" applyBorder="1" applyAlignment="1">
      <alignment horizontal="left" vertical="center" wrapText="1"/>
    </xf>
    <xf numFmtId="0" fontId="57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11" fillId="2" borderId="1" xfId="0" applyFont="1" applyFill="1" applyBorder="1" applyAlignment="1" applyProtection="1">
      <alignment vertical="top" wrapText="1"/>
      <protection locked="0"/>
    </xf>
    <xf numFmtId="0" fontId="13" fillId="8" borderId="1" xfId="0" applyFont="1" applyFill="1" applyBorder="1" applyAlignment="1">
      <alignment horizontal="left" vertical="center" wrapText="1"/>
    </xf>
    <xf numFmtId="0" fontId="65" fillId="17" borderId="2" xfId="0" applyFont="1" applyFill="1" applyBorder="1" applyAlignment="1">
      <alignment horizontal="center" vertical="center" wrapText="1"/>
    </xf>
    <xf numFmtId="0" fontId="65" fillId="17" borderId="4" xfId="0" applyFont="1" applyFill="1" applyBorder="1" applyAlignment="1">
      <alignment horizontal="center" vertical="center" wrapText="1"/>
    </xf>
    <xf numFmtId="0" fontId="17" fillId="19" borderId="59" xfId="0" applyFont="1" applyFill="1" applyBorder="1" applyAlignment="1">
      <alignment horizontal="center" vertical="center" wrapText="1"/>
    </xf>
    <xf numFmtId="0" fontId="13" fillId="8" borderId="29" xfId="0" applyFont="1" applyFill="1" applyBorder="1" applyAlignment="1">
      <alignment horizontal="right" vertical="center" wrapText="1"/>
    </xf>
    <xf numFmtId="0" fontId="13" fillId="8" borderId="30" xfId="0" applyFont="1" applyFill="1" applyBorder="1" applyAlignment="1">
      <alignment horizontal="right" vertical="center" wrapText="1"/>
    </xf>
    <xf numFmtId="0" fontId="13" fillId="8" borderId="31" xfId="0" applyFont="1" applyFill="1" applyBorder="1" applyAlignment="1">
      <alignment horizontal="right" vertical="center" wrapText="1"/>
    </xf>
    <xf numFmtId="0" fontId="14" fillId="19" borderId="13" xfId="0" applyFont="1" applyFill="1" applyBorder="1" applyAlignment="1" applyProtection="1">
      <alignment horizontal="left" vertical="center"/>
      <protection locked="0"/>
    </xf>
    <xf numFmtId="0" fontId="14" fillId="19" borderId="10" xfId="0" applyFont="1" applyFill="1" applyBorder="1" applyAlignment="1" applyProtection="1">
      <alignment horizontal="left" vertical="center"/>
      <protection locked="0"/>
    </xf>
    <xf numFmtId="0" fontId="14" fillId="19" borderId="13" xfId="0" applyFont="1" applyFill="1" applyBorder="1" applyAlignment="1">
      <alignment horizontal="left" vertical="center"/>
    </xf>
    <xf numFmtId="0" fontId="14" fillId="19" borderId="10" xfId="0" applyFont="1" applyFill="1" applyBorder="1" applyAlignment="1">
      <alignment horizontal="left" vertical="center"/>
    </xf>
    <xf numFmtId="0" fontId="14" fillId="19" borderId="17" xfId="0" applyFont="1" applyFill="1" applyBorder="1" applyAlignment="1">
      <alignment horizontal="center" vertical="center" wrapText="1"/>
    </xf>
    <xf numFmtId="0" fontId="14" fillId="19" borderId="19" xfId="0" applyFont="1" applyFill="1" applyBorder="1" applyAlignment="1">
      <alignment horizontal="center" vertical="center" wrapText="1"/>
    </xf>
    <xf numFmtId="0" fontId="14" fillId="19" borderId="26" xfId="0" applyFont="1" applyFill="1" applyBorder="1" applyAlignment="1">
      <alignment horizontal="center" vertical="center" wrapText="1"/>
    </xf>
    <xf numFmtId="0" fontId="14" fillId="19" borderId="28" xfId="0" applyFont="1" applyFill="1" applyBorder="1" applyAlignment="1">
      <alignment horizontal="center" vertical="center" wrapText="1"/>
    </xf>
    <xf numFmtId="0" fontId="19" fillId="21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34" fillId="21" borderId="1" xfId="0" applyFont="1" applyFill="1" applyBorder="1" applyAlignment="1">
      <alignment horizontal="left" vertical="center" wrapText="1"/>
    </xf>
    <xf numFmtId="165" fontId="14" fillId="19" borderId="13" xfId="0" applyNumberFormat="1" applyFont="1" applyFill="1" applyBorder="1" applyAlignment="1" applyProtection="1">
      <alignment horizontal="center" vertical="center" wrapText="1"/>
    </xf>
    <xf numFmtId="165" fontId="14" fillId="19" borderId="3" xfId="0" applyNumberFormat="1" applyFont="1" applyFill="1" applyBorder="1" applyAlignment="1" applyProtection="1">
      <alignment horizontal="center" vertical="center" wrapText="1"/>
    </xf>
    <xf numFmtId="0" fontId="63" fillId="2" borderId="18" xfId="0" applyFont="1" applyFill="1" applyBorder="1" applyAlignment="1">
      <alignment horizontal="left" vertical="center"/>
    </xf>
    <xf numFmtId="41" fontId="14" fillId="19" borderId="2" xfId="0" applyNumberFormat="1" applyFont="1" applyFill="1" applyBorder="1" applyAlignment="1" applyProtection="1">
      <alignment horizontal="center" vertical="center" wrapText="1"/>
    </xf>
    <xf numFmtId="41" fontId="14" fillId="19" borderId="4" xfId="0" applyNumberFormat="1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14" fillId="19" borderId="13" xfId="0" applyFont="1" applyFill="1" applyBorder="1" applyAlignment="1">
      <alignment horizontal="center" vertical="center" wrapText="1"/>
    </xf>
    <xf numFmtId="0" fontId="14" fillId="19" borderId="10" xfId="0" applyFont="1" applyFill="1" applyBorder="1" applyAlignment="1">
      <alignment horizontal="center" vertical="center" wrapText="1"/>
    </xf>
    <xf numFmtId="165" fontId="14" fillId="19" borderId="1" xfId="0" applyNumberFormat="1" applyFont="1" applyFill="1" applyBorder="1" applyAlignment="1">
      <alignment horizontal="center" vertical="center" wrapText="1"/>
    </xf>
    <xf numFmtId="0" fontId="7" fillId="5" borderId="13" xfId="0" applyFont="1" applyFill="1" applyBorder="1" applyAlignment="1" applyProtection="1">
      <alignment horizontal="center" vertical="center" wrapText="1"/>
      <protection locked="0"/>
    </xf>
    <xf numFmtId="0" fontId="7" fillId="5" borderId="10" xfId="0" applyFont="1" applyFill="1" applyBorder="1" applyAlignment="1" applyProtection="1">
      <alignment horizontal="center" vertical="center" wrapText="1"/>
      <protection locked="0"/>
    </xf>
    <xf numFmtId="0" fontId="7" fillId="5" borderId="3" xfId="0" applyFont="1" applyFill="1" applyBorder="1" applyAlignment="1" applyProtection="1">
      <alignment horizontal="center" vertical="center" wrapText="1"/>
      <protection locked="0"/>
    </xf>
    <xf numFmtId="0" fontId="80" fillId="14" borderId="0" xfId="0" applyFont="1" applyFill="1" applyBorder="1" applyAlignment="1">
      <alignment horizontal="center" vertical="center" wrapText="1"/>
    </xf>
    <xf numFmtId="0" fontId="82" fillId="23" borderId="2" xfId="0" applyFont="1" applyFill="1" applyBorder="1" applyAlignment="1">
      <alignment horizontal="center" vertical="center" wrapText="1"/>
    </xf>
    <xf numFmtId="0" fontId="82" fillId="23" borderId="4" xfId="0" applyFont="1" applyFill="1" applyBorder="1" applyAlignment="1">
      <alignment horizontal="center" vertical="center" wrapText="1"/>
    </xf>
    <xf numFmtId="0" fontId="32" fillId="14" borderId="24" xfId="0" applyFont="1" applyFill="1" applyBorder="1" applyAlignment="1">
      <alignment horizontal="left" vertical="top" wrapText="1"/>
    </xf>
    <xf numFmtId="0" fontId="32" fillId="14" borderId="0" xfId="0" applyFont="1" applyFill="1" applyBorder="1" applyAlignment="1">
      <alignment horizontal="left" vertical="top" wrapText="1"/>
    </xf>
    <xf numFmtId="0" fontId="82" fillId="23" borderId="13" xfId="0" applyFont="1" applyFill="1" applyBorder="1" applyAlignment="1">
      <alignment horizontal="center" vertical="center" wrapText="1"/>
    </xf>
    <xf numFmtId="0" fontId="82" fillId="23" borderId="10" xfId="0" applyFont="1" applyFill="1" applyBorder="1" applyAlignment="1">
      <alignment horizontal="center" vertical="center" wrapText="1"/>
    </xf>
    <xf numFmtId="0" fontId="82" fillId="23" borderId="3" xfId="0" applyFont="1" applyFill="1" applyBorder="1" applyAlignment="1">
      <alignment horizontal="center" vertical="center" wrapText="1"/>
    </xf>
    <xf numFmtId="0" fontId="51" fillId="0" borderId="13" xfId="0" applyFont="1" applyFill="1" applyBorder="1" applyAlignment="1">
      <alignment horizontal="left" vertical="top" wrapText="1"/>
    </xf>
    <xf numFmtId="0" fontId="51" fillId="0" borderId="10" xfId="0" applyFont="1" applyFill="1" applyBorder="1" applyAlignment="1">
      <alignment horizontal="left" vertical="top" wrapText="1"/>
    </xf>
    <xf numFmtId="0" fontId="51" fillId="0" borderId="3" xfId="0" applyFont="1" applyFill="1" applyBorder="1" applyAlignment="1">
      <alignment horizontal="left" vertical="top" wrapText="1"/>
    </xf>
    <xf numFmtId="0" fontId="4" fillId="2" borderId="13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82" fillId="23" borderId="24" xfId="0" applyFont="1" applyFill="1" applyBorder="1" applyAlignment="1">
      <alignment horizontal="center" vertical="center" wrapText="1"/>
    </xf>
    <xf numFmtId="0" fontId="82" fillId="23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0" fillId="2" borderId="0" xfId="0" applyFill="1" applyAlignment="1">
      <alignment horizontal="left" wrapText="1"/>
    </xf>
    <xf numFmtId="0" fontId="5" fillId="2" borderId="0" xfId="0" applyFont="1" applyFill="1" applyAlignment="1">
      <alignment horizontal="center" wrapText="1"/>
    </xf>
    <xf numFmtId="0" fontId="8" fillId="13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 readingOrder="1"/>
    </xf>
    <xf numFmtId="41" fontId="14" fillId="19" borderId="1" xfId="0" applyNumberFormat="1" applyFont="1" applyFill="1" applyBorder="1" applyAlignment="1">
      <alignment horizontal="center" vertical="center" wrapText="1"/>
    </xf>
    <xf numFmtId="0" fontId="8" fillId="20" borderId="2" xfId="0" applyFont="1" applyFill="1" applyBorder="1" applyAlignment="1">
      <alignment horizontal="center" vertical="center" wrapText="1"/>
    </xf>
    <xf numFmtId="0" fontId="8" fillId="20" borderId="4" xfId="0" applyFont="1" applyFill="1" applyBorder="1" applyAlignment="1">
      <alignment horizontal="center" vertical="center" wrapText="1"/>
    </xf>
    <xf numFmtId="0" fontId="8" fillId="20" borderId="1" xfId="0" applyFont="1" applyFill="1" applyBorder="1" applyAlignment="1">
      <alignment horizontal="center" vertical="center" wrapText="1"/>
    </xf>
    <xf numFmtId="0" fontId="8" fillId="13" borderId="2" xfId="0" applyFont="1" applyFill="1" applyBorder="1" applyAlignment="1">
      <alignment horizontal="center" vertical="center" wrapText="1"/>
    </xf>
    <xf numFmtId="0" fontId="8" fillId="13" borderId="4" xfId="0" applyFont="1" applyFill="1" applyBorder="1" applyAlignment="1">
      <alignment horizontal="center" vertical="center" wrapText="1"/>
    </xf>
    <xf numFmtId="0" fontId="14" fillId="8" borderId="21" xfId="0" applyFont="1" applyFill="1" applyBorder="1" applyAlignment="1">
      <alignment horizontal="left" vertical="center"/>
    </xf>
    <xf numFmtId="0" fontId="14" fillId="8" borderId="22" xfId="0" applyFont="1" applyFill="1" applyBorder="1" applyAlignment="1">
      <alignment horizontal="left" vertical="center"/>
    </xf>
    <xf numFmtId="0" fontId="14" fillId="8" borderId="23" xfId="0" applyFont="1" applyFill="1" applyBorder="1" applyAlignment="1">
      <alignment horizontal="left" vertical="center"/>
    </xf>
    <xf numFmtId="0" fontId="11" fillId="5" borderId="14" xfId="0" applyFont="1" applyFill="1" applyBorder="1" applyAlignment="1">
      <alignment horizontal="left" vertical="center" wrapText="1"/>
    </xf>
    <xf numFmtId="0" fontId="11" fillId="5" borderId="15" xfId="0" applyFont="1" applyFill="1" applyBorder="1" applyAlignment="1">
      <alignment horizontal="left" vertical="center" wrapText="1"/>
    </xf>
    <xf numFmtId="0" fontId="11" fillId="5" borderId="16" xfId="0" applyFont="1" applyFill="1" applyBorder="1" applyAlignment="1">
      <alignment horizontal="left" vertical="center" wrapText="1"/>
    </xf>
    <xf numFmtId="0" fontId="11" fillId="5" borderId="5" xfId="0" applyFont="1" applyFill="1" applyBorder="1" applyAlignment="1">
      <alignment horizontal="left" vertical="center" wrapText="1"/>
    </xf>
    <xf numFmtId="0" fontId="11" fillId="5" borderId="0" xfId="0" applyFont="1" applyFill="1" applyBorder="1" applyAlignment="1">
      <alignment horizontal="left" vertical="center" wrapText="1"/>
    </xf>
    <xf numFmtId="0" fontId="11" fillId="5" borderId="6" xfId="0" applyFont="1" applyFill="1" applyBorder="1" applyAlignment="1">
      <alignment horizontal="left" vertical="center" wrapText="1"/>
    </xf>
    <xf numFmtId="0" fontId="11" fillId="5" borderId="7" xfId="0" applyFont="1" applyFill="1" applyBorder="1" applyAlignment="1">
      <alignment horizontal="left" vertical="center" wrapText="1"/>
    </xf>
    <xf numFmtId="0" fontId="11" fillId="5" borderId="8" xfId="0" applyFont="1" applyFill="1" applyBorder="1" applyAlignment="1">
      <alignment horizontal="left" vertical="center" wrapText="1"/>
    </xf>
    <xf numFmtId="0" fontId="11" fillId="5" borderId="9" xfId="0" applyFont="1" applyFill="1" applyBorder="1" applyAlignment="1">
      <alignment horizontal="left" vertical="center" wrapText="1"/>
    </xf>
    <xf numFmtId="0" fontId="14" fillId="19" borderId="2" xfId="0" applyFont="1" applyFill="1" applyBorder="1" applyAlignment="1">
      <alignment horizontal="center" vertical="center" textRotation="90"/>
    </xf>
    <xf numFmtId="0" fontId="14" fillId="19" borderId="32" xfId="0" applyFont="1" applyFill="1" applyBorder="1" applyAlignment="1">
      <alignment horizontal="center" vertical="center" textRotation="90"/>
    </xf>
    <xf numFmtId="0" fontId="14" fillId="19" borderId="4" xfId="0" applyFont="1" applyFill="1" applyBorder="1" applyAlignment="1">
      <alignment horizontal="center" vertical="center" textRotation="90"/>
    </xf>
    <xf numFmtId="0" fontId="8" fillId="13" borderId="17" xfId="0" applyFont="1" applyFill="1" applyBorder="1" applyAlignment="1">
      <alignment horizontal="center" vertical="center" wrapText="1"/>
    </xf>
    <xf numFmtId="0" fontId="8" fillId="13" borderId="19" xfId="0" applyFont="1" applyFill="1" applyBorder="1" applyAlignment="1">
      <alignment horizontal="center" vertical="center" wrapText="1"/>
    </xf>
    <xf numFmtId="0" fontId="8" fillId="13" borderId="26" xfId="0" applyFont="1" applyFill="1" applyBorder="1" applyAlignment="1">
      <alignment horizontal="center" vertical="center" wrapText="1"/>
    </xf>
    <xf numFmtId="0" fontId="8" fillId="13" borderId="28" xfId="0" applyFont="1" applyFill="1" applyBorder="1" applyAlignment="1">
      <alignment horizontal="center" vertical="center" wrapText="1"/>
    </xf>
    <xf numFmtId="0" fontId="8" fillId="20" borderId="17" xfId="0" applyFont="1" applyFill="1" applyBorder="1" applyAlignment="1">
      <alignment horizontal="center" vertical="center" wrapText="1"/>
    </xf>
    <xf numFmtId="0" fontId="8" fillId="20" borderId="18" xfId="0" applyFont="1" applyFill="1" applyBorder="1" applyAlignment="1">
      <alignment horizontal="center" vertical="center" wrapText="1"/>
    </xf>
    <xf numFmtId="0" fontId="8" fillId="20" borderId="19" xfId="0" applyFont="1" applyFill="1" applyBorder="1" applyAlignment="1">
      <alignment horizontal="center" vertical="center" wrapText="1"/>
    </xf>
    <xf numFmtId="0" fontId="8" fillId="20" borderId="24" xfId="0" applyFont="1" applyFill="1" applyBorder="1" applyAlignment="1">
      <alignment horizontal="center" vertical="center" wrapText="1"/>
    </xf>
    <xf numFmtId="0" fontId="8" fillId="20" borderId="0" xfId="0" applyFont="1" applyFill="1" applyBorder="1" applyAlignment="1">
      <alignment horizontal="center" vertical="center" wrapText="1"/>
    </xf>
    <xf numFmtId="0" fontId="8" fillId="20" borderId="25" xfId="0" applyFont="1" applyFill="1" applyBorder="1" applyAlignment="1">
      <alignment horizontal="center" vertical="center" wrapText="1"/>
    </xf>
    <xf numFmtId="0" fontId="8" fillId="20" borderId="26" xfId="0" applyFont="1" applyFill="1" applyBorder="1" applyAlignment="1">
      <alignment horizontal="center" vertical="center" wrapText="1"/>
    </xf>
    <xf numFmtId="0" fontId="8" fillId="20" borderId="27" xfId="0" applyFont="1" applyFill="1" applyBorder="1" applyAlignment="1">
      <alignment horizontal="center" vertical="center" wrapText="1"/>
    </xf>
    <xf numFmtId="0" fontId="8" fillId="20" borderId="28" xfId="0" applyFont="1" applyFill="1" applyBorder="1" applyAlignment="1">
      <alignment horizontal="center" vertical="center" wrapText="1"/>
    </xf>
    <xf numFmtId="0" fontId="11" fillId="13" borderId="17" xfId="0" applyFont="1" applyFill="1" applyBorder="1" applyAlignment="1">
      <alignment horizontal="center" vertical="center" wrapText="1"/>
    </xf>
    <xf numFmtId="0" fontId="11" fillId="13" borderId="18" xfId="0" applyFont="1" applyFill="1" applyBorder="1" applyAlignment="1">
      <alignment horizontal="center" vertical="center" wrapText="1"/>
    </xf>
    <xf numFmtId="0" fontId="11" fillId="13" borderId="19" xfId="0" applyFont="1" applyFill="1" applyBorder="1" applyAlignment="1">
      <alignment horizontal="center" vertical="center" wrapText="1"/>
    </xf>
    <xf numFmtId="0" fontId="11" fillId="13" borderId="24" xfId="0" applyFont="1" applyFill="1" applyBorder="1" applyAlignment="1">
      <alignment horizontal="center" vertical="center" wrapText="1"/>
    </xf>
    <xf numFmtId="0" fontId="11" fillId="13" borderId="0" xfId="0" applyFont="1" applyFill="1" applyBorder="1" applyAlignment="1">
      <alignment horizontal="center" vertical="center" wrapText="1"/>
    </xf>
    <xf numFmtId="0" fontId="11" fillId="13" borderId="25" xfId="0" applyFont="1" applyFill="1" applyBorder="1" applyAlignment="1">
      <alignment horizontal="center" vertical="center" wrapText="1"/>
    </xf>
    <xf numFmtId="0" fontId="11" fillId="13" borderId="26" xfId="0" applyFont="1" applyFill="1" applyBorder="1" applyAlignment="1">
      <alignment horizontal="center" vertical="center" wrapText="1"/>
    </xf>
    <xf numFmtId="0" fontId="11" fillId="13" borderId="27" xfId="0" applyFont="1" applyFill="1" applyBorder="1" applyAlignment="1">
      <alignment horizontal="center" vertical="center" wrapText="1"/>
    </xf>
    <xf numFmtId="0" fontId="11" fillId="13" borderId="28" xfId="0" applyFont="1" applyFill="1" applyBorder="1" applyAlignment="1">
      <alignment horizontal="center" vertical="center" wrapText="1"/>
    </xf>
    <xf numFmtId="0" fontId="8" fillId="9" borderId="0" xfId="0" applyFont="1" applyFill="1" applyBorder="1" applyAlignment="1">
      <alignment horizontal="left"/>
    </xf>
    <xf numFmtId="0" fontId="14" fillId="19" borderId="1" xfId="0" applyFont="1" applyFill="1" applyBorder="1" applyAlignment="1">
      <alignment horizontal="center" vertical="center" textRotation="90"/>
    </xf>
    <xf numFmtId="0" fontId="19" fillId="0" borderId="1" xfId="0" applyFont="1" applyFill="1" applyBorder="1" applyAlignment="1">
      <alignment horizontal="left" vertical="center"/>
    </xf>
    <xf numFmtId="41" fontId="8" fillId="2" borderId="1" xfId="0" applyNumberFormat="1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/>
    </xf>
    <xf numFmtId="41" fontId="14" fillId="19" borderId="1" xfId="0" applyNumberFormat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4" fillId="19" borderId="1" xfId="0" applyFont="1" applyFill="1" applyBorder="1" applyAlignment="1" applyProtection="1">
      <alignment horizontal="left" vertical="center"/>
      <protection locked="0"/>
    </xf>
    <xf numFmtId="0" fontId="14" fillId="19" borderId="1" xfId="0" applyFont="1" applyFill="1" applyBorder="1" applyAlignment="1">
      <alignment horizontal="left" vertical="center" wrapText="1"/>
    </xf>
    <xf numFmtId="0" fontId="17" fillId="19" borderId="1" xfId="0" applyFont="1" applyFill="1" applyBorder="1" applyAlignment="1" applyProtection="1">
      <alignment horizontal="left" vertical="center"/>
      <protection locked="0"/>
    </xf>
    <xf numFmtId="0" fontId="17" fillId="19" borderId="17" xfId="0" applyFont="1" applyFill="1" applyBorder="1" applyAlignment="1">
      <alignment horizontal="left" vertical="center"/>
    </xf>
    <xf numFmtId="0" fontId="17" fillId="19" borderId="18" xfId="0" applyFont="1" applyFill="1" applyBorder="1" applyAlignment="1">
      <alignment horizontal="left" vertical="center"/>
    </xf>
    <xf numFmtId="0" fontId="17" fillId="19" borderId="10" xfId="0" applyFont="1" applyFill="1" applyBorder="1" applyAlignment="1">
      <alignment horizontal="left" vertical="center"/>
    </xf>
    <xf numFmtId="0" fontId="17" fillId="19" borderId="3" xfId="0" applyFont="1" applyFill="1" applyBorder="1" applyAlignment="1">
      <alignment horizontal="left" vertical="center"/>
    </xf>
    <xf numFmtId="0" fontId="17" fillId="19" borderId="1" xfId="0" applyFont="1" applyFill="1" applyBorder="1" applyAlignment="1">
      <alignment horizontal="center" vertical="center" wrapText="1"/>
    </xf>
    <xf numFmtId="0" fontId="87" fillId="19" borderId="1" xfId="0" applyFont="1" applyFill="1" applyBorder="1" applyAlignment="1">
      <alignment horizontal="center" vertical="center" wrapText="1"/>
    </xf>
    <xf numFmtId="0" fontId="87" fillId="19" borderId="1" xfId="0" applyFont="1" applyFill="1" applyBorder="1" applyAlignment="1">
      <alignment horizontal="center" vertical="center"/>
    </xf>
    <xf numFmtId="0" fontId="87" fillId="19" borderId="13" xfId="0" applyFont="1" applyFill="1" applyBorder="1" applyAlignment="1">
      <alignment horizontal="center" vertical="center"/>
    </xf>
    <xf numFmtId="0" fontId="87" fillId="19" borderId="10" xfId="0" applyFont="1" applyFill="1" applyBorder="1" applyAlignment="1">
      <alignment horizontal="center" vertical="center"/>
    </xf>
    <xf numFmtId="164" fontId="89" fillId="9" borderId="1" xfId="4" applyFont="1" applyFill="1" applyBorder="1" applyAlignment="1">
      <alignment horizontal="center" vertical="center" wrapText="1"/>
    </xf>
    <xf numFmtId="0" fontId="49" fillId="5" borderId="17" xfId="0" applyFont="1" applyFill="1" applyBorder="1" applyAlignment="1">
      <alignment horizontal="justify" vertical="top" wrapText="1"/>
    </xf>
    <xf numFmtId="0" fontId="49" fillId="5" borderId="18" xfId="0" applyFont="1" applyFill="1" applyBorder="1" applyAlignment="1">
      <alignment horizontal="justify" vertical="top" wrapText="1"/>
    </xf>
    <xf numFmtId="0" fontId="49" fillId="5" borderId="19" xfId="0" applyFont="1" applyFill="1" applyBorder="1" applyAlignment="1">
      <alignment horizontal="justify" vertical="top" wrapText="1"/>
    </xf>
    <xf numFmtId="0" fontId="49" fillId="5" borderId="24" xfId="0" applyFont="1" applyFill="1" applyBorder="1" applyAlignment="1">
      <alignment horizontal="justify" vertical="top" wrapText="1"/>
    </xf>
    <xf numFmtId="0" fontId="49" fillId="5" borderId="0" xfId="0" applyFont="1" applyFill="1" applyBorder="1" applyAlignment="1">
      <alignment horizontal="justify" vertical="top" wrapText="1"/>
    </xf>
    <xf numFmtId="0" fontId="49" fillId="5" borderId="25" xfId="0" applyFont="1" applyFill="1" applyBorder="1" applyAlignment="1">
      <alignment horizontal="justify" vertical="top" wrapText="1"/>
    </xf>
    <xf numFmtId="0" fontId="49" fillId="5" borderId="26" xfId="0" applyFont="1" applyFill="1" applyBorder="1" applyAlignment="1">
      <alignment horizontal="justify" vertical="top" wrapText="1"/>
    </xf>
    <xf numFmtId="0" fontId="49" fillId="5" borderId="27" xfId="0" applyFont="1" applyFill="1" applyBorder="1" applyAlignment="1">
      <alignment horizontal="justify" vertical="top" wrapText="1"/>
    </xf>
    <xf numFmtId="0" fontId="49" fillId="5" borderId="28" xfId="0" applyFont="1" applyFill="1" applyBorder="1" applyAlignment="1">
      <alignment horizontal="justify" vertical="top" wrapText="1"/>
    </xf>
    <xf numFmtId="0" fontId="90" fillId="0" borderId="24" xfId="0" applyFont="1" applyBorder="1" applyAlignment="1">
      <alignment horizontal="center" vertical="center"/>
    </xf>
    <xf numFmtId="0" fontId="17" fillId="19" borderId="1" xfId="0" applyFont="1" applyFill="1" applyBorder="1" applyAlignment="1">
      <alignment horizontal="right" vertical="center" wrapText="1"/>
    </xf>
    <xf numFmtId="170" fontId="17" fillId="19" borderId="1" xfId="4" applyNumberFormat="1" applyFont="1" applyFill="1" applyBorder="1" applyAlignment="1">
      <alignment horizontal="center" vertical="center" wrapText="1"/>
    </xf>
    <xf numFmtId="0" fontId="87" fillId="19" borderId="13" xfId="0" applyFont="1" applyFill="1" applyBorder="1" applyAlignment="1">
      <alignment horizontal="left" vertical="center"/>
    </xf>
    <xf numFmtId="0" fontId="87" fillId="19" borderId="10" xfId="0" applyFont="1" applyFill="1" applyBorder="1" applyAlignment="1">
      <alignment horizontal="left" vertical="center"/>
    </xf>
    <xf numFmtId="0" fontId="87" fillId="19" borderId="3" xfId="0" applyFont="1" applyFill="1" applyBorder="1" applyAlignment="1">
      <alignment horizontal="left" vertical="center"/>
    </xf>
    <xf numFmtId="164" fontId="87" fillId="19" borderId="1" xfId="4" applyFont="1" applyFill="1" applyBorder="1" applyAlignment="1">
      <alignment horizontal="center" vertical="center" wrapText="1"/>
    </xf>
    <xf numFmtId="0" fontId="16" fillId="26" borderId="13" xfId="0" applyFont="1" applyFill="1" applyBorder="1" applyAlignment="1">
      <alignment horizontal="center" vertical="center" wrapText="1"/>
    </xf>
    <xf numFmtId="0" fontId="16" fillId="26" borderId="10" xfId="0" applyFont="1" applyFill="1" applyBorder="1" applyAlignment="1">
      <alignment horizontal="center" vertical="center" wrapText="1"/>
    </xf>
    <xf numFmtId="0" fontId="16" fillId="26" borderId="3" xfId="0" applyFont="1" applyFill="1" applyBorder="1" applyAlignment="1">
      <alignment horizontal="center" vertical="center" wrapText="1"/>
    </xf>
    <xf numFmtId="0" fontId="16" fillId="26" borderId="17" xfId="0" applyFont="1" applyFill="1" applyBorder="1" applyAlignment="1">
      <alignment horizontal="center" vertical="center" wrapText="1"/>
    </xf>
    <xf numFmtId="0" fontId="16" fillId="26" borderId="26" xfId="0" applyFont="1" applyFill="1" applyBorder="1" applyAlignment="1">
      <alignment horizontal="center" vertical="center" wrapText="1"/>
    </xf>
    <xf numFmtId="0" fontId="16" fillId="26" borderId="1" xfId="0" applyFont="1" applyFill="1" applyBorder="1" applyAlignment="1">
      <alignment horizontal="center" vertical="center" wrapText="1"/>
    </xf>
    <xf numFmtId="0" fontId="17" fillId="19" borderId="10" xfId="0" applyFont="1" applyFill="1" applyBorder="1" applyAlignment="1">
      <alignment horizontal="right" vertical="center" wrapText="1"/>
    </xf>
    <xf numFmtId="0" fontId="16" fillId="19" borderId="13" xfId="0" applyFont="1" applyFill="1" applyBorder="1" applyAlignment="1">
      <alignment horizontal="center" vertical="center" wrapText="1"/>
    </xf>
    <xf numFmtId="0" fontId="16" fillId="19" borderId="10" xfId="0" applyFont="1" applyFill="1" applyBorder="1" applyAlignment="1">
      <alignment horizontal="center" vertical="center" wrapText="1"/>
    </xf>
    <xf numFmtId="0" fontId="16" fillId="19" borderId="3" xfId="0" applyFont="1" applyFill="1" applyBorder="1" applyAlignment="1">
      <alignment horizontal="center" vertical="center" wrapText="1"/>
    </xf>
    <xf numFmtId="0" fontId="16" fillId="19" borderId="13" xfId="0" applyFont="1" applyFill="1" applyBorder="1" applyAlignment="1" applyProtection="1">
      <alignment horizontal="left" vertical="center" wrapText="1"/>
      <protection locked="0"/>
    </xf>
    <xf numFmtId="0" fontId="16" fillId="19" borderId="10" xfId="0" applyFont="1" applyFill="1" applyBorder="1" applyAlignment="1" applyProtection="1">
      <alignment horizontal="left" vertical="center" wrapText="1"/>
      <protection locked="0"/>
    </xf>
    <xf numFmtId="0" fontId="34" fillId="9" borderId="10" xfId="0" applyFont="1" applyFill="1" applyBorder="1" applyAlignment="1" applyProtection="1">
      <alignment horizontal="center" vertical="center" wrapText="1"/>
      <protection locked="0"/>
    </xf>
    <xf numFmtId="0" fontId="34" fillId="9" borderId="3" xfId="0" applyFont="1" applyFill="1" applyBorder="1" applyAlignment="1" applyProtection="1">
      <alignment horizontal="center" vertical="center" wrapText="1"/>
      <protection locked="0"/>
    </xf>
    <xf numFmtId="0" fontId="34" fillId="2" borderId="10" xfId="0" applyFont="1" applyFill="1" applyBorder="1" applyAlignment="1" applyProtection="1">
      <alignment horizontal="center" vertical="center" wrapText="1"/>
      <protection locked="0"/>
    </xf>
    <xf numFmtId="0" fontId="34" fillId="2" borderId="3" xfId="0" applyFont="1" applyFill="1" applyBorder="1" applyAlignment="1" applyProtection="1">
      <alignment horizontal="center" vertical="center" wrapText="1"/>
      <protection locked="0"/>
    </xf>
    <xf numFmtId="0" fontId="34" fillId="17" borderId="13" xfId="0" applyFont="1" applyFill="1" applyBorder="1" applyAlignment="1">
      <alignment horizontal="center" vertical="center" wrapText="1"/>
    </xf>
    <xf numFmtId="0" fontId="34" fillId="17" borderId="3" xfId="0" applyFont="1" applyFill="1" applyBorder="1" applyAlignment="1">
      <alignment horizontal="center" vertical="center" wrapText="1"/>
    </xf>
    <xf numFmtId="0" fontId="16" fillId="19" borderId="17" xfId="0" applyFont="1" applyFill="1" applyBorder="1" applyAlignment="1">
      <alignment horizontal="center" vertical="center" wrapText="1"/>
    </xf>
    <xf numFmtId="0" fontId="16" fillId="19" borderId="26" xfId="0" applyFont="1" applyFill="1" applyBorder="1" applyAlignment="1">
      <alignment horizontal="center" vertical="center" wrapText="1"/>
    </xf>
    <xf numFmtId="0" fontId="16" fillId="19" borderId="1" xfId="0" applyFont="1" applyFill="1" applyBorder="1" applyAlignment="1">
      <alignment horizontal="center" vertical="center" wrapText="1"/>
    </xf>
    <xf numFmtId="0" fontId="34" fillId="17" borderId="19" xfId="0" applyFont="1" applyFill="1" applyBorder="1" applyAlignment="1">
      <alignment horizontal="center" vertical="center" wrapText="1"/>
    </xf>
    <xf numFmtId="0" fontId="34" fillId="17" borderId="28" xfId="0" applyFont="1" applyFill="1" applyBorder="1" applyAlignment="1">
      <alignment horizontal="center" vertical="center" wrapText="1"/>
    </xf>
    <xf numFmtId="0" fontId="34" fillId="17" borderId="2" xfId="0" applyFont="1" applyFill="1" applyBorder="1" applyAlignment="1">
      <alignment horizontal="center" vertical="center" wrapText="1"/>
    </xf>
    <xf numFmtId="0" fontId="34" fillId="17" borderId="4" xfId="0" applyFont="1" applyFill="1" applyBorder="1" applyAlignment="1">
      <alignment horizontal="center" vertical="center" wrapText="1"/>
    </xf>
    <xf numFmtId="0" fontId="95" fillId="19" borderId="1" xfId="0" applyFont="1" applyFill="1" applyBorder="1" applyAlignment="1" applyProtection="1">
      <alignment horizontal="left" vertical="center"/>
      <protection locked="0"/>
    </xf>
    <xf numFmtId="0" fontId="7" fillId="5" borderId="13" xfId="0" applyFont="1" applyFill="1" applyBorder="1" applyAlignment="1" applyProtection="1">
      <alignment horizontal="left" wrapText="1"/>
      <protection locked="0"/>
    </xf>
    <xf numFmtId="0" fontId="7" fillId="5" borderId="10" xfId="0" applyFont="1" applyFill="1" applyBorder="1" applyAlignment="1" applyProtection="1">
      <alignment horizontal="left" wrapText="1"/>
      <protection locked="0"/>
    </xf>
    <xf numFmtId="0" fontId="7" fillId="5" borderId="3" xfId="0" applyFont="1" applyFill="1" applyBorder="1" applyAlignment="1" applyProtection="1">
      <alignment horizontal="left" wrapText="1"/>
      <protection locked="0"/>
    </xf>
    <xf numFmtId="0" fontId="16" fillId="19" borderId="13" xfId="0" applyFont="1" applyFill="1" applyBorder="1" applyAlignment="1">
      <alignment horizontal="left" vertical="center" wrapText="1"/>
    </xf>
    <xf numFmtId="0" fontId="16" fillId="19" borderId="10" xfId="0" applyFont="1" applyFill="1" applyBorder="1" applyAlignment="1">
      <alignment horizontal="left" vertical="center" wrapText="1"/>
    </xf>
    <xf numFmtId="0" fontId="16" fillId="19" borderId="3" xfId="0" applyFont="1" applyFill="1" applyBorder="1" applyAlignment="1">
      <alignment horizontal="left" vertical="center" wrapText="1"/>
    </xf>
    <xf numFmtId="0" fontId="33" fillId="5" borderId="17" xfId="0" applyFont="1" applyFill="1" applyBorder="1" applyAlignment="1">
      <alignment horizontal="justify" vertical="center" wrapText="1"/>
    </xf>
    <xf numFmtId="0" fontId="33" fillId="5" borderId="18" xfId="0" applyFont="1" applyFill="1" applyBorder="1" applyAlignment="1">
      <alignment horizontal="justify" vertical="center" wrapText="1"/>
    </xf>
    <xf numFmtId="0" fontId="33" fillId="5" borderId="19" xfId="0" applyFont="1" applyFill="1" applyBorder="1" applyAlignment="1">
      <alignment horizontal="justify" vertical="center" wrapText="1"/>
    </xf>
    <xf numFmtId="0" fontId="33" fillId="5" borderId="26" xfId="0" applyFont="1" applyFill="1" applyBorder="1" applyAlignment="1">
      <alignment horizontal="justify" vertical="center" wrapText="1"/>
    </xf>
    <xf numFmtId="0" fontId="33" fillId="5" borderId="27" xfId="0" applyFont="1" applyFill="1" applyBorder="1" applyAlignment="1">
      <alignment horizontal="justify" vertical="center" wrapText="1"/>
    </xf>
    <xf numFmtId="0" fontId="33" fillId="5" borderId="28" xfId="0" applyFont="1" applyFill="1" applyBorder="1" applyAlignment="1">
      <alignment horizontal="justify" vertical="center" wrapText="1"/>
    </xf>
    <xf numFmtId="0" fontId="31" fillId="0" borderId="10" xfId="0" applyFont="1" applyBorder="1" applyAlignment="1">
      <alignment horizontal="center"/>
    </xf>
    <xf numFmtId="0" fontId="20" fillId="8" borderId="1" xfId="0" applyFont="1" applyFill="1" applyBorder="1" applyAlignment="1">
      <alignment horizontal="center" vertical="center" wrapText="1"/>
    </xf>
    <xf numFmtId="0" fontId="64" fillId="20" borderId="2" xfId="0" applyFont="1" applyFill="1" applyBorder="1" applyAlignment="1">
      <alignment horizontal="center" vertical="center" wrapText="1"/>
    </xf>
    <xf numFmtId="0" fontId="64" fillId="20" borderId="32" xfId="0" applyFont="1" applyFill="1" applyBorder="1" applyAlignment="1">
      <alignment horizontal="center" vertical="center" wrapText="1"/>
    </xf>
    <xf numFmtId="0" fontId="64" fillId="20" borderId="4" xfId="0" applyFont="1" applyFill="1" applyBorder="1" applyAlignment="1">
      <alignment horizontal="center" vertical="center" wrapText="1"/>
    </xf>
    <xf numFmtId="0" fontId="64" fillId="13" borderId="2" xfId="0" quotePrefix="1" applyFont="1" applyFill="1" applyBorder="1" applyAlignment="1">
      <alignment horizontal="center" vertical="center" wrapText="1"/>
    </xf>
    <xf numFmtId="0" fontId="64" fillId="13" borderId="32" xfId="0" quotePrefix="1" applyFont="1" applyFill="1" applyBorder="1" applyAlignment="1">
      <alignment horizontal="center" vertical="center" wrapText="1"/>
    </xf>
    <xf numFmtId="0" fontId="64" fillId="13" borderId="4" xfId="0" quotePrefix="1" applyFont="1" applyFill="1" applyBorder="1" applyAlignment="1">
      <alignment horizontal="center" vertical="center" wrapText="1"/>
    </xf>
    <xf numFmtId="0" fontId="93" fillId="9" borderId="13" xfId="0" applyFont="1" applyFill="1" applyBorder="1" applyAlignment="1">
      <alignment horizontal="center" vertical="center"/>
    </xf>
    <xf numFmtId="0" fontId="93" fillId="9" borderId="3" xfId="0" applyFont="1" applyFill="1" applyBorder="1" applyAlignment="1">
      <alignment horizontal="center" vertical="center"/>
    </xf>
    <xf numFmtId="0" fontId="64" fillId="20" borderId="2" xfId="0" quotePrefix="1" applyFont="1" applyFill="1" applyBorder="1" applyAlignment="1">
      <alignment horizontal="center" vertical="center" wrapText="1"/>
    </xf>
    <xf numFmtId="0" fontId="64" fillId="20" borderId="32" xfId="0" quotePrefix="1" applyFont="1" applyFill="1" applyBorder="1" applyAlignment="1">
      <alignment horizontal="center" vertical="center" wrapText="1"/>
    </xf>
    <xf numFmtId="0" fontId="64" fillId="20" borderId="4" xfId="0" quotePrefix="1" applyFont="1" applyFill="1" applyBorder="1" applyAlignment="1">
      <alignment horizontal="center" vertical="center" wrapText="1"/>
    </xf>
    <xf numFmtId="0" fontId="64" fillId="13" borderId="2" xfId="0" applyFont="1" applyFill="1" applyBorder="1" applyAlignment="1">
      <alignment horizontal="center" vertical="center" wrapText="1"/>
    </xf>
    <xf numFmtId="0" fontId="64" fillId="13" borderId="4" xfId="0" applyFont="1" applyFill="1" applyBorder="1" applyAlignment="1">
      <alignment horizontal="center" vertical="center" wrapText="1"/>
    </xf>
  </cellXfs>
  <cellStyles count="16">
    <cellStyle name="Bom" xfId="1" builtinId="26"/>
    <cellStyle name="Hiperlink" xfId="15" builtinId="8"/>
    <cellStyle name="Moeda 2" xfId="6" xr:uid="{00000000-0005-0000-0000-000002000000}"/>
    <cellStyle name="Neutro" xfId="2" builtinId="28"/>
    <cellStyle name="Normal" xfId="0" builtinId="0"/>
    <cellStyle name="Normal 2" xfId="5" xr:uid="{00000000-0005-0000-0000-000005000000}"/>
    <cellStyle name="Normal 2 2" xfId="14" xr:uid="{00000000-0005-0000-0000-000006000000}"/>
    <cellStyle name="Normal 3" xfId="8" xr:uid="{00000000-0005-0000-0000-000007000000}"/>
    <cellStyle name="Normal 3 2" xfId="9" xr:uid="{00000000-0005-0000-0000-000008000000}"/>
    <cellStyle name="Normal 3 2 2" xfId="13" xr:uid="{00000000-0005-0000-0000-000009000000}"/>
    <cellStyle name="Porcentagem" xfId="3" builtinId="5"/>
    <cellStyle name="Porcentagem 2" xfId="12" xr:uid="{00000000-0005-0000-0000-00000B000000}"/>
    <cellStyle name="Vírgula" xfId="4" builtinId="3"/>
    <cellStyle name="Vírgula 2" xfId="7" xr:uid="{00000000-0005-0000-0000-00000D000000}"/>
    <cellStyle name="Vírgula 2 2" xfId="11" xr:uid="{00000000-0005-0000-0000-00000E000000}"/>
    <cellStyle name="Vírgula 4" xfId="10" xr:uid="{00000000-0005-0000-0000-00000F000000}"/>
  </cellStyles>
  <dxfs count="8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9999"/>
      <color rgb="FF777777"/>
      <color rgb="FF008080"/>
      <color rgb="FF33CCCC"/>
      <color rgb="FFF2F2F2"/>
      <color rgb="FFFFFFFF"/>
      <color rgb="FFF6FAF4"/>
      <color rgb="FFB9FFFF"/>
      <color rgb="FFD7E9E0"/>
      <color rgb="FFECFC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1</xdr:row>
      <xdr:rowOff>9525</xdr:rowOff>
    </xdr:from>
    <xdr:to>
      <xdr:col>8</xdr:col>
      <xdr:colOff>581025</xdr:colOff>
      <xdr:row>2</xdr:row>
      <xdr:rowOff>476251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276224" y="209550"/>
          <a:ext cx="5124451" cy="6572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47624</xdr:colOff>
      <xdr:row>1</xdr:row>
      <xdr:rowOff>161924</xdr:rowOff>
    </xdr:from>
    <xdr:to>
      <xdr:col>18</xdr:col>
      <xdr:colOff>571499</xdr:colOff>
      <xdr:row>2</xdr:row>
      <xdr:rowOff>495299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6696074" y="361949"/>
          <a:ext cx="4791075" cy="5238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152400</xdr:colOff>
      <xdr:row>12</xdr:row>
      <xdr:rowOff>38380</xdr:rowOff>
    </xdr:from>
    <xdr:to>
      <xdr:col>13</xdr:col>
      <xdr:colOff>95091</xdr:colOff>
      <xdr:row>16</xdr:row>
      <xdr:rowOff>28575</xdr:rowOff>
    </xdr:to>
    <xdr:sp macro="" textlink="">
      <xdr:nvSpPr>
        <xdr:cNvPr id="3" name="Seta para a direita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6858000" y="3153055"/>
          <a:ext cx="1161891" cy="780770"/>
        </a:xfrm>
        <a:prstGeom prst="rightArrow">
          <a:avLst/>
        </a:prstGeom>
        <a:solidFill>
          <a:srgbClr val="2A566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437030</xdr:colOff>
      <xdr:row>11</xdr:row>
      <xdr:rowOff>76201</xdr:rowOff>
    </xdr:from>
    <xdr:to>
      <xdr:col>18</xdr:col>
      <xdr:colOff>114300</xdr:colOff>
      <xdr:row>17</xdr:row>
      <xdr:rowOff>114300</xdr:rowOff>
    </xdr:to>
    <xdr:sp macro="" textlink="">
      <xdr:nvSpPr>
        <xdr:cNvPr id="4" name="Retângulo de cantos arredondados 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361830" y="2990851"/>
          <a:ext cx="2725270" cy="1228724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5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Clicar duas vezes no objetivo estratégico,</a:t>
          </a:r>
          <a:r>
            <a:rPr lang="pt-BR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na </a:t>
          </a:r>
          <a:r>
            <a:rPr lang="pt-BR" sz="15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figura ao</a:t>
          </a:r>
          <a:r>
            <a:rPr lang="pt-BR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lado,</a:t>
          </a:r>
          <a:r>
            <a:rPr lang="pt-BR" sz="15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e incluir os</a:t>
          </a:r>
          <a:r>
            <a:rPr lang="pt-BR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objetivos locais, no máximo três.</a:t>
          </a:r>
          <a:endParaRPr lang="pt-BR" sz="1500">
            <a:solidFill>
              <a:schemeClr val="tx1"/>
            </a:solidFill>
            <a:effectLst/>
          </a:endParaRPr>
        </a:p>
        <a:p>
          <a:pPr algn="l"/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384073</xdr:colOff>
      <xdr:row>37</xdr:row>
      <xdr:rowOff>76815</xdr:rowOff>
    </xdr:from>
    <xdr:to>
      <xdr:col>18</xdr:col>
      <xdr:colOff>412648</xdr:colOff>
      <xdr:row>43</xdr:row>
      <xdr:rowOff>14142</xdr:rowOff>
    </xdr:to>
    <xdr:sp macro="" textlink="">
      <xdr:nvSpPr>
        <xdr:cNvPr id="6" name="Retângulo de cantos arredondados 10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308873" y="8677890"/>
          <a:ext cx="3076575" cy="1080327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Facultativo a utilização dos ODS na Reprogramação 2021. Clicar duas vezes na figura ao lado e incluir os ODS priorizados.</a:t>
          </a:r>
          <a:endParaRPr lang="pt-BR" sz="1600">
            <a:effectLst/>
          </a:endParaRPr>
        </a:p>
      </xdr:txBody>
    </xdr:sp>
    <xdr:clientData/>
  </xdr:twoCellAnchor>
  <xdr:twoCellAnchor>
    <xdr:from>
      <xdr:col>11</xdr:col>
      <xdr:colOff>213228</xdr:colOff>
      <xdr:row>38</xdr:row>
      <xdr:rowOff>134651</xdr:rowOff>
    </xdr:from>
    <xdr:to>
      <xdr:col>13</xdr:col>
      <xdr:colOff>155919</xdr:colOff>
      <xdr:row>42</xdr:row>
      <xdr:rowOff>170934</xdr:rowOff>
    </xdr:to>
    <xdr:sp macro="" textlink="">
      <xdr:nvSpPr>
        <xdr:cNvPr id="7" name="Seta para a direita 1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6918828" y="8926226"/>
          <a:ext cx="1161891" cy="798283"/>
        </a:xfrm>
        <a:prstGeom prst="rightArrow">
          <a:avLst/>
        </a:prstGeom>
        <a:solidFill>
          <a:srgbClr val="2A566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10</xdr:col>
          <xdr:colOff>581025</xdr:colOff>
          <xdr:row>26</xdr:row>
          <xdr:rowOff>28575</xdr:rowOff>
        </xdr:to>
        <xdr:sp macro="" textlink="">
          <xdr:nvSpPr>
            <xdr:cNvPr id="35841" name="Object 1025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F31DBC94-2043-108A-757D-3B273FAB2D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11</xdr:col>
          <xdr:colOff>28575</xdr:colOff>
          <xdr:row>48</xdr:row>
          <xdr:rowOff>38100</xdr:rowOff>
        </xdr:to>
        <xdr:sp macro="" textlink="">
          <xdr:nvSpPr>
            <xdr:cNvPr id="35842" name="Object 1026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7F37548A-C17F-3AC6-91BA-E9A6848797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3\fs-caubr\Users\patriciagomo\Desktop\Tabelas%20Diretrizes%20-%20Reprog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SSESSORIA%20DE%20PLANEJAMENTO%20E%20GESTAO%20DA%20ESTRATEGIA\2021\Reprograma&#231;&#227;o%202021\Diretrizes\Documento\Tabelas%20Diretrizes%20-%20Reprog%202021%20-%20Ajustes%20CAU%20UF-FINAL%2023.06-%20P&#243;s%20Reuni&#227;o%20CGF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SSESSORIA%20DE%20PLANEJAMENTO%20E%20GESTAO%20DA%20ESTRATEGIA\2021\Programa&#231;&#227;o%202021\Diretrizes%202021\Modelos\Modelo%20para%20Elabora&#231;&#227;o%20da%20Programa&#231;&#227;o%20do%20Plano%20de%20A&#231;&#227;o%20e%20Or&#231;amento%20CAUUF%20&#8211;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Simulação de %"/>
      <sheetName val="Estudos - Receita"/>
      <sheetName val="ANEXO I"/>
      <sheetName val="ANEXO II"/>
      <sheetName val="ANEXO III e Anexo IX"/>
      <sheetName val="Estudos - Quant. PF"/>
      <sheetName val="NOVOS EGRESSOS"/>
      <sheetName val="Estudos-Percentuais"/>
      <sheetName val="ANEXO IV"/>
      <sheetName val="ANEXO V"/>
      <sheetName val="Estudos - Quant. PJ"/>
      <sheetName val="ANEXO VI"/>
      <sheetName val="ANEXO VII"/>
      <sheetName val="ANEXO VIII"/>
      <sheetName val="ANEXO X Aporte FA"/>
      <sheetName val="ANEXO X.I Repasse FA"/>
      <sheetName val="ANEXO XI CSC Total"/>
      <sheetName val="ANEXO XI.I CSC RIA"/>
      <sheetName val="ANEXO XI.II CSC Essencial"/>
      <sheetName val="ANEXO XI.III - RIA Enc. dContas"/>
      <sheetName val="ANEXO XII"/>
      <sheetName val="XIII. TAXAS BANCÁRIAS"/>
      <sheetName val="NOVO SISCAF"/>
      <sheetName val="Gráficos e Tabelas"/>
      <sheetName val="Resumo - Ajuste pelos UFs"/>
      <sheetName val="Resumo"/>
      <sheetName val="QUADRO_1"/>
      <sheetName val="QUADRO_2"/>
      <sheetName val="QUADRO_3"/>
      <sheetName val="QUADRO_4"/>
      <sheetName val="Simulação_de_%"/>
      <sheetName val="Estudos_-_Receita"/>
      <sheetName val="ANEXO_I"/>
      <sheetName val="ANEXO_II"/>
      <sheetName val="ANEXO_III_e_Anexo_IX"/>
      <sheetName val="Estudos_-_Quant__PF"/>
      <sheetName val="NOVOS_EGRESSOS"/>
      <sheetName val="ANEXO_IV"/>
      <sheetName val="ANEXO_V"/>
      <sheetName val="Estudos_-_Quant__PJ"/>
      <sheetName val="ANEXO_VI"/>
      <sheetName val="ANEXO_VII"/>
      <sheetName val="ANEXO_VIII"/>
      <sheetName val="ANEXO_X_Aporte_FA"/>
      <sheetName val="ANEXO_X_I_Repasse_FA"/>
      <sheetName val="ANEXO_XI_CSC_Total"/>
      <sheetName val="ANEXO_XI_I_CSC_RIA"/>
      <sheetName val="ANEXO_XI_II_CSC_Essencial"/>
      <sheetName val="ANEXO_XI_III_-_RIA_Enc__dContas"/>
      <sheetName val="ANEXO_XII"/>
      <sheetName val="XIII__TAXAS_BANCÁRIAS"/>
      <sheetName val="NOVO_SISCAF"/>
      <sheetName val="Gráficos_e_Tabelas"/>
      <sheetName val="Resumo_-_Ajuste_pelos_U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XFB1">
            <v>0.05</v>
          </cell>
        </row>
        <row r="2">
          <cell r="XFB2">
            <v>0.1</v>
          </cell>
        </row>
        <row r="3">
          <cell r="XFB3">
            <v>0.15</v>
          </cell>
        </row>
        <row r="4">
          <cell r="XFB4">
            <v>0.2</v>
          </cell>
        </row>
        <row r="5">
          <cell r="XFB5">
            <v>0.25</v>
          </cell>
        </row>
        <row r="6">
          <cell r="XFB6">
            <v>0.3</v>
          </cell>
        </row>
        <row r="7">
          <cell r="XFB7">
            <v>0.35</v>
          </cell>
        </row>
        <row r="8">
          <cell r="XFB8">
            <v>0.4</v>
          </cell>
        </row>
        <row r="9">
          <cell r="XFB9">
            <v>0.45</v>
          </cell>
        </row>
        <row r="10">
          <cell r="XFB10">
            <v>0.5</v>
          </cell>
        </row>
        <row r="11">
          <cell r="XFB11">
            <v>0.55000000000000004</v>
          </cell>
        </row>
        <row r="12">
          <cell r="XFB12">
            <v>0.6</v>
          </cell>
        </row>
        <row r="13">
          <cell r="XFB13">
            <v>0.65</v>
          </cell>
        </row>
        <row r="14">
          <cell r="XFB14">
            <v>0.7</v>
          </cell>
        </row>
        <row r="15">
          <cell r="XFB15">
            <v>0.75</v>
          </cell>
        </row>
        <row r="16">
          <cell r="XFB16">
            <v>0.8</v>
          </cell>
        </row>
        <row r="17">
          <cell r="XFB17">
            <v>0.85</v>
          </cell>
        </row>
        <row r="18">
          <cell r="XFB18">
            <v>0.9</v>
          </cell>
        </row>
        <row r="19">
          <cell r="XFB19">
            <v>0.95</v>
          </cell>
        </row>
        <row r="20">
          <cell r="XFB20">
            <v>1</v>
          </cell>
        </row>
      </sheetData>
      <sheetData sheetId="6">
        <row r="5">
          <cell r="C5">
            <v>586</v>
          </cell>
        </row>
      </sheetData>
      <sheetData sheetId="7" refreshError="1"/>
      <sheetData sheetId="8">
        <row r="6">
          <cell r="AX6">
            <v>67439.888000000006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J2" t="str">
            <v>PJ até 2 anos com sócio AU formado até 2 anos</v>
          </cell>
          <cell r="L2" t="str">
            <v>Relatório 14</v>
          </cell>
        </row>
        <row r="4">
          <cell r="L4" t="str">
            <v>Situação de Registro Ativo</v>
          </cell>
          <cell r="M4" t="str">
            <v>Inativos</v>
          </cell>
          <cell r="N4" t="str">
            <v>Pagantes</v>
          </cell>
          <cell r="O4" t="str">
            <v>0/1</v>
          </cell>
        </row>
        <row r="5">
          <cell r="N5">
            <v>32</v>
          </cell>
          <cell r="O5">
            <v>7</v>
          </cell>
        </row>
        <row r="6">
          <cell r="N6">
            <v>63</v>
          </cell>
          <cell r="O6">
            <v>12</v>
          </cell>
        </row>
        <row r="7">
          <cell r="N7">
            <v>37</v>
          </cell>
          <cell r="O7">
            <v>10</v>
          </cell>
        </row>
        <row r="8">
          <cell r="N8">
            <v>89</v>
          </cell>
          <cell r="O8">
            <v>12</v>
          </cell>
        </row>
        <row r="9">
          <cell r="N9">
            <v>56</v>
          </cell>
          <cell r="O9">
            <v>13</v>
          </cell>
        </row>
        <row r="10">
          <cell r="N10">
            <v>14</v>
          </cell>
          <cell r="O10">
            <v>0</v>
          </cell>
        </row>
        <row r="11">
          <cell r="N11">
            <v>41</v>
          </cell>
          <cell r="O11">
            <v>5</v>
          </cell>
        </row>
        <row r="12">
          <cell r="N12">
            <v>332</v>
          </cell>
          <cell r="O12">
            <v>59</v>
          </cell>
        </row>
        <row r="13">
          <cell r="N13">
            <v>41</v>
          </cell>
          <cell r="O13">
            <v>5</v>
          </cell>
        </row>
        <row r="14">
          <cell r="N14">
            <v>283</v>
          </cell>
          <cell r="O14">
            <v>28</v>
          </cell>
        </row>
        <row r="15">
          <cell r="N15">
            <v>139</v>
          </cell>
          <cell r="O15">
            <v>7</v>
          </cell>
        </row>
        <row r="16">
          <cell r="N16">
            <v>49</v>
          </cell>
          <cell r="O16">
            <v>5</v>
          </cell>
        </row>
        <row r="17">
          <cell r="N17">
            <v>87</v>
          </cell>
          <cell r="O17">
            <v>11</v>
          </cell>
        </row>
        <row r="18">
          <cell r="N18">
            <v>205</v>
          </cell>
          <cell r="O18">
            <v>19</v>
          </cell>
        </row>
        <row r="19">
          <cell r="N19">
            <v>70</v>
          </cell>
          <cell r="O19">
            <v>13</v>
          </cell>
        </row>
        <row r="20">
          <cell r="N20">
            <v>72</v>
          </cell>
          <cell r="O20">
            <v>6</v>
          </cell>
        </row>
        <row r="21">
          <cell r="N21">
            <v>57</v>
          </cell>
          <cell r="O21">
            <v>6</v>
          </cell>
        </row>
        <row r="22">
          <cell r="N22">
            <v>1003</v>
          </cell>
          <cell r="O22">
            <v>100</v>
          </cell>
        </row>
        <row r="23">
          <cell r="N23">
            <v>222</v>
          </cell>
          <cell r="O23">
            <v>27</v>
          </cell>
        </row>
        <row r="24">
          <cell r="N24">
            <v>212</v>
          </cell>
          <cell r="O24">
            <v>47</v>
          </cell>
        </row>
        <row r="25">
          <cell r="N25">
            <v>182</v>
          </cell>
          <cell r="O25">
            <v>26</v>
          </cell>
        </row>
        <row r="26">
          <cell r="N26">
            <v>172</v>
          </cell>
          <cell r="O26">
            <v>22</v>
          </cell>
        </row>
        <row r="27">
          <cell r="N27">
            <v>788</v>
          </cell>
          <cell r="O27">
            <v>122</v>
          </cell>
        </row>
        <row r="28">
          <cell r="N28">
            <v>225</v>
          </cell>
          <cell r="O28">
            <v>13</v>
          </cell>
        </row>
        <row r="29">
          <cell r="N29">
            <v>738</v>
          </cell>
          <cell r="O29">
            <v>69</v>
          </cell>
        </row>
        <row r="30">
          <cell r="N30">
            <v>1078</v>
          </cell>
          <cell r="O30">
            <v>82</v>
          </cell>
        </row>
        <row r="31">
          <cell r="N31">
            <v>3458</v>
          </cell>
          <cell r="O31">
            <v>154</v>
          </cell>
        </row>
        <row r="32">
          <cell r="N32">
            <v>5499</v>
          </cell>
          <cell r="O32">
            <v>318</v>
          </cell>
        </row>
        <row r="33">
          <cell r="N33">
            <v>1058</v>
          </cell>
          <cell r="O33">
            <v>125</v>
          </cell>
        </row>
        <row r="34">
          <cell r="N34">
            <v>949</v>
          </cell>
          <cell r="O34">
            <v>87</v>
          </cell>
        </row>
        <row r="35">
          <cell r="N35">
            <v>649</v>
          </cell>
          <cell r="O35">
            <v>70</v>
          </cell>
        </row>
        <row r="36">
          <cell r="N36">
            <v>2656</v>
          </cell>
          <cell r="O36">
            <v>282</v>
          </cell>
        </row>
        <row r="37">
          <cell r="N37">
            <v>10278</v>
          </cell>
          <cell r="O37">
            <v>881</v>
          </cell>
        </row>
      </sheetData>
      <sheetData sheetId="15" refreshError="1"/>
      <sheetData sheetId="16" refreshError="1"/>
      <sheetData sheetId="17" refreshError="1"/>
      <sheetData sheetId="18">
        <row r="3">
          <cell r="A3" t="str">
            <v>SP</v>
          </cell>
        </row>
      </sheetData>
      <sheetData sheetId="19">
        <row r="30">
          <cell r="A30" t="str">
            <v>RR</v>
          </cell>
        </row>
      </sheetData>
      <sheetData sheetId="20">
        <row r="3">
          <cell r="D3">
            <v>2726.8547648527197</v>
          </cell>
        </row>
      </sheetData>
      <sheetData sheetId="21" refreshError="1"/>
      <sheetData sheetId="22" refreshError="1"/>
      <sheetData sheetId="23">
        <row r="2">
          <cell r="A2" t="str">
            <v>AC</v>
          </cell>
        </row>
      </sheetData>
      <sheetData sheetId="24">
        <row r="10">
          <cell r="A10" t="str">
            <v>RR</v>
          </cell>
        </row>
      </sheetData>
      <sheetData sheetId="25">
        <row r="3">
          <cell r="A3" t="str">
            <v>AC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2">
          <cell r="J2" t="str">
            <v>PJ até 2 anos com sócio AU formado até 2 anos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RT"/>
      <sheetName val="Anexo VI-Repasse FA sem exerc."/>
      <sheetName val="Anexo VI.I-Aporte FA sem exerci"/>
      <sheetName val="senha"/>
      <sheetName val="QUADRO 1"/>
      <sheetName val="QUADRO 2"/>
      <sheetName val="QUADRO 3"/>
      <sheetName val="QUADRO 4"/>
      <sheetName val="ANEXO I"/>
      <sheetName val="ANEXO II"/>
      <sheetName val="ANEXO III Anexo IX (100 e 80%)"/>
      <sheetName val="Estudos - Receita"/>
      <sheetName val="ANEXO IV"/>
      <sheetName val="ANEXO V"/>
      <sheetName val="ANEXO VI"/>
      <sheetName val="ANEXO VII"/>
      <sheetName val="ANEXO VIII"/>
      <sheetName val="Análise Impacto CSC FA"/>
      <sheetName val="Anexo X-Aporte FA com exerc."/>
      <sheetName val="Anexo X-Repasse FA com exerc."/>
      <sheetName val="Acerto de Contas"/>
      <sheetName val="CSC_Teleatendimento"/>
      <sheetName val="ANEXO XI.A - CSC Total(AJUSTE) "/>
      <sheetName val="ANEXO XI - CSC Total"/>
      <sheetName val="Anexo XI.I-CSC-Teleatendimento"/>
      <sheetName val="ANEXO XI.II Enc de Contas"/>
      <sheetName val="Anexo XI.III-CSC -Essenc e RIA"/>
      <sheetName val="Simulação de %"/>
      <sheetName val="NOVOS EGRESSOS"/>
      <sheetName val="Estudos-Percentuais"/>
      <sheetName val="Anexo XII- SISCAF"/>
      <sheetName val="Resumo - Ajuste pelos UFs"/>
      <sheetName val="Médias por UF"/>
      <sheetName val="Financeiro"/>
      <sheetName val="XIII. TAXAS BANCÁRIAS"/>
      <sheetName val="Gráficos e Tabelas"/>
      <sheetName val="Exerc.Anteriores PF-PJ"/>
      <sheetName val="Análise PF"/>
      <sheetName val="PF - Projeção"/>
      <sheetName val="Análise PJ"/>
      <sheetName val="PJ - Proje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6">
          <cell r="D16">
            <v>198.589436962864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7">
          <cell r="D17">
            <v>2980.3792432000005</v>
          </cell>
        </row>
      </sheetData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transparencia.caubr.gov.br/deliberacao-plenaria-dpobr-0097-08-a/" TargetMode="External"/><Relationship Id="rId2" Type="http://schemas.openxmlformats.org/officeDocument/2006/relationships/hyperlink" Target="https://transparencia.caubr.gov.br/resolucao193/" TargetMode="External"/><Relationship Id="rId1" Type="http://schemas.openxmlformats.org/officeDocument/2006/relationships/hyperlink" Target="https://transparencia.caubr.gov.br/resolucao200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transparencia.caubr.gov.br/deliberacaoplenaria-dpobr-0084-03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package" Target="../embeddings/Microsoft_PowerPoint_Slide1.sldx"/><Relationship Id="rId5" Type="http://schemas.openxmlformats.org/officeDocument/2006/relationships/image" Target="../media/image2.emf"/><Relationship Id="rId4" Type="http://schemas.openxmlformats.org/officeDocument/2006/relationships/package" Target="../embeddings/Microsoft_PowerPoint_Slide.sldx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1"/>
  <sheetViews>
    <sheetView zoomScale="30" zoomScaleNormal="30" workbookViewId="0">
      <selection activeCell="B25" sqref="B25"/>
    </sheetView>
  </sheetViews>
  <sheetFormatPr defaultColWidth="9.140625" defaultRowHeight="64.5" x14ac:dyDescent="0.95"/>
  <cols>
    <col min="1" max="1" width="9.140625" style="78"/>
    <col min="2" max="2" width="94.85546875" style="78" bestFit="1" customWidth="1"/>
    <col min="3" max="4" width="9.140625" style="78"/>
    <col min="5" max="5" width="39.5703125" style="78" customWidth="1"/>
    <col min="6" max="6" width="59.5703125" style="78" customWidth="1"/>
    <col min="7" max="13" width="9.140625" style="78"/>
    <col min="14" max="14" width="97.28515625" style="78" customWidth="1"/>
    <col min="15" max="16" width="9.140625" style="78"/>
    <col min="17" max="17" width="132.85546875" style="80" bestFit="1" customWidth="1"/>
    <col min="18" max="16384" width="9.140625" style="78"/>
  </cols>
  <sheetData>
    <row r="1" spans="1:17" x14ac:dyDescent="0.95">
      <c r="A1" s="71"/>
      <c r="B1" s="72" t="s">
        <v>111</v>
      </c>
      <c r="C1" s="70"/>
      <c r="D1" s="70"/>
      <c r="E1" s="70"/>
      <c r="F1" s="139" t="s">
        <v>75</v>
      </c>
      <c r="G1" s="70"/>
      <c r="H1" s="71"/>
      <c r="I1" s="71"/>
      <c r="N1" s="140" t="s">
        <v>186</v>
      </c>
      <c r="Q1" s="80" t="s">
        <v>36</v>
      </c>
    </row>
    <row r="2" spans="1:17" x14ac:dyDescent="0.95">
      <c r="A2" s="71"/>
      <c r="B2" s="72" t="s">
        <v>119</v>
      </c>
      <c r="C2" s="70"/>
      <c r="D2" s="70"/>
      <c r="E2" s="70"/>
      <c r="F2" s="139" t="s">
        <v>49</v>
      </c>
      <c r="G2" s="70"/>
      <c r="H2" s="71"/>
      <c r="I2" s="71"/>
      <c r="N2" s="140" t="s">
        <v>187</v>
      </c>
      <c r="Q2" s="80" t="s">
        <v>137</v>
      </c>
    </row>
    <row r="3" spans="1:17" x14ac:dyDescent="0.95">
      <c r="A3" s="71"/>
      <c r="B3" s="72" t="s">
        <v>120</v>
      </c>
      <c r="C3" s="70"/>
      <c r="D3" s="70"/>
      <c r="E3" s="70"/>
      <c r="F3" s="298" t="s">
        <v>44</v>
      </c>
      <c r="G3" s="70"/>
      <c r="H3" s="71"/>
      <c r="I3" s="71"/>
      <c r="N3" s="140" t="s">
        <v>140</v>
      </c>
      <c r="Q3" s="80" t="s">
        <v>32</v>
      </c>
    </row>
    <row r="4" spans="1:17" x14ac:dyDescent="0.95">
      <c r="A4" s="71"/>
      <c r="B4" s="72" t="s">
        <v>121</v>
      </c>
      <c r="C4" s="70"/>
      <c r="D4" s="70"/>
      <c r="E4" s="70"/>
      <c r="F4" s="298"/>
      <c r="G4" s="70"/>
      <c r="H4" s="71"/>
      <c r="I4" s="71"/>
      <c r="N4" s="140" t="s">
        <v>141</v>
      </c>
      <c r="Q4" s="80" t="s">
        <v>35</v>
      </c>
    </row>
    <row r="5" spans="1:17" x14ac:dyDescent="0.95">
      <c r="A5" s="71"/>
      <c r="B5" s="72" t="s">
        <v>112</v>
      </c>
      <c r="C5" s="70"/>
      <c r="D5" s="70"/>
      <c r="E5" s="70"/>
      <c r="F5" s="141" t="s">
        <v>177</v>
      </c>
      <c r="G5" s="70"/>
      <c r="H5" s="71"/>
      <c r="I5" s="71"/>
      <c r="N5" s="77" t="s">
        <v>143</v>
      </c>
      <c r="Q5" s="80" t="s">
        <v>38</v>
      </c>
    </row>
    <row r="6" spans="1:17" x14ac:dyDescent="0.95">
      <c r="A6" s="71"/>
      <c r="B6" s="72" t="s">
        <v>122</v>
      </c>
      <c r="C6" s="70"/>
      <c r="D6" s="70"/>
      <c r="E6" s="70"/>
      <c r="F6" s="141" t="s">
        <v>178</v>
      </c>
      <c r="G6" s="70"/>
      <c r="H6" s="71"/>
      <c r="I6" s="71"/>
      <c r="N6" s="77" t="s">
        <v>144</v>
      </c>
      <c r="Q6" s="80" t="s">
        <v>37</v>
      </c>
    </row>
    <row r="7" spans="1:17" x14ac:dyDescent="0.95">
      <c r="A7" s="71"/>
      <c r="B7" s="72" t="s">
        <v>131</v>
      </c>
      <c r="C7" s="70"/>
      <c r="D7" s="70"/>
      <c r="E7" s="70"/>
      <c r="F7" s="141" t="s">
        <v>179</v>
      </c>
      <c r="G7" s="70"/>
      <c r="H7" s="71"/>
      <c r="I7" s="71"/>
      <c r="N7" s="77" t="s">
        <v>146</v>
      </c>
      <c r="Q7" s="80" t="s">
        <v>148</v>
      </c>
    </row>
    <row r="8" spans="1:17" x14ac:dyDescent="0.95">
      <c r="A8" s="71"/>
      <c r="B8" s="72" t="s">
        <v>113</v>
      </c>
      <c r="C8" s="70"/>
      <c r="D8" s="70"/>
      <c r="E8" s="70"/>
      <c r="F8" s="141" t="s">
        <v>180</v>
      </c>
      <c r="G8" s="70"/>
      <c r="H8" s="71"/>
      <c r="I8" s="71"/>
      <c r="N8" s="140" t="s">
        <v>149</v>
      </c>
      <c r="Q8" s="80" t="s">
        <v>29</v>
      </c>
    </row>
    <row r="9" spans="1:17" x14ac:dyDescent="0.95">
      <c r="A9" s="71"/>
      <c r="B9" s="72" t="s">
        <v>123</v>
      </c>
      <c r="C9" s="70"/>
      <c r="D9" s="70"/>
      <c r="E9" s="70"/>
      <c r="F9" s="141" t="s">
        <v>181</v>
      </c>
      <c r="G9" s="70"/>
      <c r="H9" s="71"/>
      <c r="I9" s="71"/>
      <c r="N9" s="140" t="s">
        <v>151</v>
      </c>
      <c r="Q9" s="80" t="s">
        <v>34</v>
      </c>
    </row>
    <row r="10" spans="1:17" x14ac:dyDescent="0.95">
      <c r="A10" s="71"/>
      <c r="B10" s="72" t="s">
        <v>114</v>
      </c>
      <c r="C10" s="70"/>
      <c r="D10" s="70"/>
      <c r="E10" s="70"/>
      <c r="F10" s="141" t="s">
        <v>192</v>
      </c>
      <c r="G10" s="70"/>
      <c r="H10" s="71"/>
      <c r="I10" s="71"/>
      <c r="N10" s="77" t="s">
        <v>153</v>
      </c>
      <c r="Q10" s="80" t="s">
        <v>189</v>
      </c>
    </row>
    <row r="11" spans="1:17" x14ac:dyDescent="0.95">
      <c r="A11" s="71"/>
      <c r="B11" s="72" t="s">
        <v>115</v>
      </c>
      <c r="C11" s="70"/>
      <c r="D11" s="70"/>
      <c r="E11" s="70"/>
      <c r="F11" s="142" t="s">
        <v>46</v>
      </c>
      <c r="G11" s="70"/>
      <c r="H11" s="71"/>
      <c r="I11" s="71"/>
      <c r="N11" s="140" t="s">
        <v>154</v>
      </c>
      <c r="Q11" s="80" t="s">
        <v>26</v>
      </c>
    </row>
    <row r="12" spans="1:17" x14ac:dyDescent="0.95">
      <c r="A12" s="71"/>
      <c r="B12" s="72" t="s">
        <v>124</v>
      </c>
      <c r="C12" s="70"/>
      <c r="D12" s="70"/>
      <c r="E12" s="70"/>
      <c r="F12" s="142" t="s">
        <v>2</v>
      </c>
      <c r="G12" s="70"/>
      <c r="H12" s="71"/>
      <c r="I12" s="71"/>
      <c r="N12" s="140" t="s">
        <v>156</v>
      </c>
      <c r="Q12" s="80" t="s">
        <v>158</v>
      </c>
    </row>
    <row r="13" spans="1:17" x14ac:dyDescent="0.95">
      <c r="A13" s="71"/>
      <c r="B13" s="72" t="s">
        <v>125</v>
      </c>
      <c r="C13" s="70"/>
      <c r="D13" s="70"/>
      <c r="E13" s="70"/>
      <c r="F13" s="70"/>
      <c r="G13" s="70"/>
      <c r="H13" s="71"/>
      <c r="I13" s="71"/>
      <c r="N13" s="77" t="s">
        <v>159</v>
      </c>
      <c r="Q13" s="80" t="s">
        <v>33</v>
      </c>
    </row>
    <row r="14" spans="1:17" x14ac:dyDescent="0.95">
      <c r="A14" s="71"/>
      <c r="B14" s="72" t="s">
        <v>116</v>
      </c>
      <c r="C14" s="70"/>
      <c r="D14" s="70"/>
      <c r="E14" s="70"/>
      <c r="F14" s="70"/>
      <c r="G14" s="70"/>
      <c r="H14" s="71"/>
      <c r="I14" s="71"/>
      <c r="N14" s="77" t="s">
        <v>161</v>
      </c>
      <c r="Q14" s="80" t="s">
        <v>39</v>
      </c>
    </row>
    <row r="15" spans="1:17" ht="75" customHeight="1" x14ac:dyDescent="0.95">
      <c r="A15" s="71"/>
      <c r="B15" s="72" t="s">
        <v>126</v>
      </c>
      <c r="C15" s="70"/>
      <c r="D15" s="70"/>
      <c r="E15" s="70"/>
      <c r="F15" s="70"/>
      <c r="G15" s="70"/>
      <c r="H15" s="71"/>
      <c r="I15" s="71"/>
      <c r="N15" s="140" t="s">
        <v>163</v>
      </c>
      <c r="Q15" s="80" t="s">
        <v>27</v>
      </c>
    </row>
    <row r="16" spans="1:17" x14ac:dyDescent="0.95">
      <c r="A16" s="71"/>
      <c r="B16" s="72" t="s">
        <v>117</v>
      </c>
      <c r="C16" s="70"/>
      <c r="D16" s="70"/>
      <c r="E16" s="70"/>
      <c r="F16" s="70"/>
      <c r="G16" s="70"/>
      <c r="H16" s="71"/>
      <c r="I16" s="71"/>
      <c r="N16" s="140" t="s">
        <v>165</v>
      </c>
      <c r="Q16" s="80" t="s">
        <v>188</v>
      </c>
    </row>
    <row r="17" spans="1:14" x14ac:dyDescent="0.95">
      <c r="A17" s="71"/>
      <c r="B17" s="72" t="s">
        <v>118</v>
      </c>
      <c r="C17" s="70"/>
      <c r="D17" s="70"/>
      <c r="E17" s="70"/>
      <c r="F17" s="70"/>
      <c r="G17" s="70"/>
      <c r="H17" s="71"/>
      <c r="I17" s="71"/>
      <c r="N17" s="140" t="s">
        <v>167</v>
      </c>
    </row>
    <row r="18" spans="1:14" x14ac:dyDescent="0.95">
      <c r="A18" s="71"/>
      <c r="C18" s="70"/>
      <c r="D18" s="70"/>
      <c r="E18" s="70"/>
      <c r="F18" s="70"/>
      <c r="G18" s="70"/>
      <c r="H18" s="71"/>
      <c r="I18" s="71"/>
      <c r="N18" s="77" t="s">
        <v>169</v>
      </c>
    </row>
    <row r="19" spans="1:14" x14ac:dyDescent="0.95">
      <c r="N19" s="77" t="s">
        <v>171</v>
      </c>
    </row>
    <row r="20" spans="1:14" x14ac:dyDescent="0.95">
      <c r="N20" s="77" t="s">
        <v>173</v>
      </c>
    </row>
    <row r="21" spans="1:14" x14ac:dyDescent="0.95">
      <c r="N21" s="77" t="s">
        <v>175</v>
      </c>
    </row>
  </sheetData>
  <mergeCells count="1">
    <mergeCell ref="F3:F4"/>
  </mergeCells>
  <pageMargins left="0.511811024" right="0.511811024" top="0.78740157499999996" bottom="0.78740157499999996" header="0.31496062000000002" footer="0.31496062000000002"/>
  <pageSetup paperSize="28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21"/>
  <sheetViews>
    <sheetView topLeftCell="B1" zoomScale="30" zoomScaleNormal="30" workbookViewId="0">
      <selection activeCell="F6" sqref="F6"/>
    </sheetView>
  </sheetViews>
  <sheetFormatPr defaultRowHeight="64.5" x14ac:dyDescent="0.95"/>
  <cols>
    <col min="2" max="2" width="94.85546875" bestFit="1" customWidth="1"/>
    <col min="5" max="5" width="39.5703125" customWidth="1"/>
    <col min="6" max="6" width="59.5703125" customWidth="1"/>
    <col min="14" max="14" width="97.28515625" customWidth="1"/>
    <col min="17" max="17" width="132.85546875" style="80" bestFit="1" customWidth="1"/>
  </cols>
  <sheetData>
    <row r="1" spans="1:17" x14ac:dyDescent="0.95">
      <c r="A1" s="71"/>
      <c r="B1" s="72" t="s">
        <v>111</v>
      </c>
      <c r="C1" s="70"/>
      <c r="D1" s="70"/>
      <c r="E1" s="70"/>
      <c r="F1" s="66" t="s">
        <v>75</v>
      </c>
      <c r="G1" s="70"/>
      <c r="H1" s="71"/>
      <c r="I1" s="71"/>
      <c r="N1" s="76" t="s">
        <v>186</v>
      </c>
      <c r="Q1" s="80" t="s">
        <v>26</v>
      </c>
    </row>
    <row r="2" spans="1:17" x14ac:dyDescent="0.95">
      <c r="A2" s="71"/>
      <c r="B2" s="72" t="s">
        <v>119</v>
      </c>
      <c r="C2" s="70"/>
      <c r="D2" s="70"/>
      <c r="E2" s="70"/>
      <c r="F2" s="66" t="s">
        <v>49</v>
      </c>
      <c r="G2" s="70"/>
      <c r="H2" s="71"/>
      <c r="I2" s="71"/>
      <c r="N2" s="76" t="s">
        <v>187</v>
      </c>
      <c r="Q2" s="80" t="s">
        <v>188</v>
      </c>
    </row>
    <row r="3" spans="1:17" x14ac:dyDescent="0.95">
      <c r="A3" s="71"/>
      <c r="B3" s="72" t="s">
        <v>120</v>
      </c>
      <c r="C3" s="70"/>
      <c r="D3" s="70"/>
      <c r="E3" s="70"/>
      <c r="F3" s="615" t="s">
        <v>44</v>
      </c>
      <c r="G3" s="70"/>
      <c r="H3" s="71"/>
      <c r="I3" s="71"/>
      <c r="N3" s="76" t="s">
        <v>140</v>
      </c>
      <c r="Q3" s="80" t="s">
        <v>27</v>
      </c>
    </row>
    <row r="4" spans="1:17" x14ac:dyDescent="0.95">
      <c r="A4" s="71"/>
      <c r="B4" s="72"/>
      <c r="C4" s="70"/>
      <c r="D4" s="70"/>
      <c r="E4" s="70"/>
      <c r="F4" s="615"/>
      <c r="G4" s="70"/>
      <c r="H4" s="71"/>
      <c r="I4" s="71"/>
      <c r="N4" s="76" t="s">
        <v>141</v>
      </c>
      <c r="Q4" s="80" t="s">
        <v>137</v>
      </c>
    </row>
    <row r="5" spans="1:17" x14ac:dyDescent="0.95">
      <c r="A5" s="71"/>
      <c r="B5" s="72" t="s">
        <v>121</v>
      </c>
      <c r="C5" s="70"/>
      <c r="D5" s="70"/>
      <c r="E5" s="70"/>
      <c r="F5" s="73" t="s">
        <v>177</v>
      </c>
      <c r="G5" s="73"/>
      <c r="H5" s="73"/>
      <c r="I5" s="73"/>
      <c r="J5" s="73"/>
      <c r="N5" s="77" t="s">
        <v>143</v>
      </c>
      <c r="Q5" s="80" t="s">
        <v>29</v>
      </c>
    </row>
    <row r="6" spans="1:17" ht="236.25" customHeight="1" x14ac:dyDescent="0.95">
      <c r="A6" s="71"/>
      <c r="B6" s="72" t="s">
        <v>112</v>
      </c>
      <c r="C6" s="70"/>
      <c r="D6" s="70"/>
      <c r="E6" s="70"/>
      <c r="F6" s="73" t="s">
        <v>178</v>
      </c>
      <c r="G6" s="70"/>
      <c r="H6" s="71"/>
      <c r="I6" s="71"/>
      <c r="N6" s="77" t="s">
        <v>144</v>
      </c>
      <c r="Q6" s="80" t="s">
        <v>158</v>
      </c>
    </row>
    <row r="7" spans="1:17" x14ac:dyDescent="0.95">
      <c r="A7" s="71"/>
      <c r="B7" s="72" t="s">
        <v>122</v>
      </c>
      <c r="C7" s="70"/>
      <c r="D7" s="70"/>
      <c r="E7" s="70"/>
      <c r="F7" s="73" t="s">
        <v>179</v>
      </c>
      <c r="G7" s="70"/>
      <c r="H7" s="71"/>
      <c r="I7" s="71"/>
      <c r="N7" s="77" t="s">
        <v>146</v>
      </c>
      <c r="Q7" s="80" t="s">
        <v>189</v>
      </c>
    </row>
    <row r="8" spans="1:17" x14ac:dyDescent="0.95">
      <c r="A8" s="71"/>
      <c r="B8" s="72" t="s">
        <v>131</v>
      </c>
      <c r="C8" s="70"/>
      <c r="D8" s="70"/>
      <c r="E8" s="70"/>
      <c r="F8" s="73" t="s">
        <v>180</v>
      </c>
      <c r="G8" s="70"/>
      <c r="H8" s="71"/>
      <c r="I8" s="71"/>
      <c r="N8" s="76" t="s">
        <v>149</v>
      </c>
      <c r="Q8" s="80" t="s">
        <v>148</v>
      </c>
    </row>
    <row r="9" spans="1:17" x14ac:dyDescent="0.95">
      <c r="A9" s="71"/>
      <c r="B9" s="72" t="s">
        <v>113</v>
      </c>
      <c r="C9" s="70"/>
      <c r="D9" s="70"/>
      <c r="E9" s="70"/>
      <c r="F9" s="73" t="s">
        <v>181</v>
      </c>
      <c r="G9" s="70"/>
      <c r="H9" s="71"/>
      <c r="I9" s="71"/>
      <c r="N9" s="76" t="s">
        <v>151</v>
      </c>
      <c r="Q9" s="80" t="s">
        <v>32</v>
      </c>
    </row>
    <row r="10" spans="1:17" x14ac:dyDescent="0.95">
      <c r="A10" s="71"/>
      <c r="B10" s="72" t="s">
        <v>123</v>
      </c>
      <c r="C10" s="70"/>
      <c r="D10" s="70"/>
      <c r="E10" s="70"/>
      <c r="F10" s="79" t="s">
        <v>192</v>
      </c>
      <c r="G10" s="70"/>
      <c r="H10" s="71"/>
      <c r="I10" s="71"/>
      <c r="N10" s="77" t="s">
        <v>153</v>
      </c>
      <c r="Q10" s="80" t="s">
        <v>33</v>
      </c>
    </row>
    <row r="11" spans="1:17" x14ac:dyDescent="0.95">
      <c r="A11" s="71"/>
      <c r="B11" s="72" t="s">
        <v>114</v>
      </c>
      <c r="C11" s="70"/>
      <c r="D11" s="70"/>
      <c r="E11" s="70"/>
      <c r="F11" s="70" t="s">
        <v>46</v>
      </c>
      <c r="G11" s="70"/>
      <c r="H11" s="71"/>
      <c r="I11" s="71"/>
      <c r="N11" s="76" t="s">
        <v>154</v>
      </c>
      <c r="Q11" s="80" t="s">
        <v>34</v>
      </c>
    </row>
    <row r="12" spans="1:17" x14ac:dyDescent="0.95">
      <c r="A12" s="71"/>
      <c r="B12" s="72" t="s">
        <v>115</v>
      </c>
      <c r="C12" s="70"/>
      <c r="D12" s="70"/>
      <c r="E12" s="70"/>
      <c r="F12" s="70" t="s">
        <v>2</v>
      </c>
      <c r="G12" s="70"/>
      <c r="H12" s="71"/>
      <c r="I12" s="71"/>
      <c r="N12" s="76" t="s">
        <v>156</v>
      </c>
      <c r="Q12" s="80" t="s">
        <v>35</v>
      </c>
    </row>
    <row r="13" spans="1:17" x14ac:dyDescent="0.95">
      <c r="A13" s="71"/>
      <c r="B13" s="72" t="s">
        <v>124</v>
      </c>
      <c r="C13" s="70"/>
      <c r="D13" s="70"/>
      <c r="E13" s="70"/>
      <c r="F13" s="70"/>
      <c r="G13" s="70"/>
      <c r="H13" s="71"/>
      <c r="I13" s="71"/>
      <c r="N13" s="77" t="s">
        <v>159</v>
      </c>
      <c r="Q13" s="80" t="s">
        <v>36</v>
      </c>
    </row>
    <row r="14" spans="1:17" x14ac:dyDescent="0.95">
      <c r="A14" s="71"/>
      <c r="B14" s="72" t="s">
        <v>125</v>
      </c>
      <c r="C14" s="70"/>
      <c r="D14" s="70"/>
      <c r="E14" s="70"/>
      <c r="F14" s="70"/>
      <c r="G14" s="70"/>
      <c r="H14" s="71"/>
      <c r="I14" s="71"/>
      <c r="N14" s="77" t="s">
        <v>161</v>
      </c>
      <c r="Q14" s="80" t="s">
        <v>37</v>
      </c>
    </row>
    <row r="15" spans="1:17" ht="110.25" customHeight="1" x14ac:dyDescent="0.95">
      <c r="A15" s="71"/>
      <c r="B15" s="72" t="s">
        <v>116</v>
      </c>
      <c r="C15" s="70"/>
      <c r="D15" s="70"/>
      <c r="E15" s="70"/>
      <c r="F15" s="70"/>
      <c r="G15" s="70"/>
      <c r="H15" s="71"/>
      <c r="I15" s="71"/>
      <c r="N15" s="76" t="s">
        <v>163</v>
      </c>
      <c r="Q15" s="80" t="s">
        <v>38</v>
      </c>
    </row>
    <row r="16" spans="1:17" x14ac:dyDescent="0.95">
      <c r="A16" s="71"/>
      <c r="B16" s="72" t="s">
        <v>126</v>
      </c>
      <c r="C16" s="70"/>
      <c r="D16" s="70"/>
      <c r="E16" s="70"/>
      <c r="F16" s="70"/>
      <c r="G16" s="70"/>
      <c r="H16" s="71"/>
      <c r="I16" s="71"/>
      <c r="N16" s="76" t="s">
        <v>165</v>
      </c>
      <c r="Q16" s="80" t="s">
        <v>39</v>
      </c>
    </row>
    <row r="17" spans="1:14" x14ac:dyDescent="0.95">
      <c r="A17" s="71"/>
      <c r="B17" s="72" t="s">
        <v>117</v>
      </c>
      <c r="C17" s="70"/>
      <c r="D17" s="70"/>
      <c r="E17" s="70"/>
      <c r="F17" s="70"/>
      <c r="G17" s="70"/>
      <c r="H17" s="71"/>
      <c r="I17" s="71"/>
      <c r="N17" s="76" t="s">
        <v>167</v>
      </c>
    </row>
    <row r="18" spans="1:14" x14ac:dyDescent="0.95">
      <c r="A18" s="71"/>
      <c r="B18" s="72" t="s">
        <v>118</v>
      </c>
      <c r="C18" s="70"/>
      <c r="D18" s="70"/>
      <c r="E18" s="70"/>
      <c r="F18" s="70"/>
      <c r="G18" s="70"/>
      <c r="H18" s="71"/>
      <c r="I18" s="71"/>
      <c r="N18" s="77" t="s">
        <v>169</v>
      </c>
    </row>
    <row r="19" spans="1:14" x14ac:dyDescent="0.95">
      <c r="N19" s="77" t="s">
        <v>171</v>
      </c>
    </row>
    <row r="20" spans="1:14" x14ac:dyDescent="0.95">
      <c r="N20" s="77" t="s">
        <v>173</v>
      </c>
    </row>
    <row r="21" spans="1:14" x14ac:dyDescent="0.95">
      <c r="N21" s="77" t="s">
        <v>175</v>
      </c>
    </row>
  </sheetData>
  <mergeCells count="1">
    <mergeCell ref="F3:F4"/>
  </mergeCells>
  <pageMargins left="0.511811024" right="0.511811024" top="0.78740157499999996" bottom="0.78740157499999996" header="0.31496062000000002" footer="0.31496062000000002"/>
  <pageSetup paperSize="2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-0.249977111117893"/>
  </sheetPr>
  <dimension ref="A1:H22"/>
  <sheetViews>
    <sheetView showGridLines="0" zoomScale="60" zoomScaleNormal="60" workbookViewId="0">
      <selection activeCell="H3" sqref="H3"/>
    </sheetView>
  </sheetViews>
  <sheetFormatPr defaultColWidth="9.140625" defaultRowHeight="28.5" x14ac:dyDescent="0.45"/>
  <cols>
    <col min="1" max="1" width="44.5703125" style="209" customWidth="1"/>
    <col min="2" max="2" width="22.7109375" style="209" bestFit="1" customWidth="1"/>
    <col min="3" max="3" width="46" style="209" customWidth="1"/>
    <col min="4" max="4" width="66.7109375" style="209" customWidth="1"/>
    <col min="5" max="7" width="9.140625" style="209"/>
    <col min="8" max="8" width="68.7109375" style="209" bestFit="1" customWidth="1"/>
    <col min="9" max="16384" width="9.140625" style="209"/>
  </cols>
  <sheetData>
    <row r="1" spans="1:8" ht="97.5" customHeight="1" x14ac:dyDescent="0.45">
      <c r="A1" s="208" t="s">
        <v>133</v>
      </c>
      <c r="B1" s="208" t="s">
        <v>134</v>
      </c>
      <c r="C1" s="208" t="s">
        <v>135</v>
      </c>
      <c r="D1" s="208" t="s">
        <v>136</v>
      </c>
    </row>
    <row r="2" spans="1:8" ht="54.95" customHeight="1" x14ac:dyDescent="0.45">
      <c r="A2" s="622"/>
      <c r="B2" s="623"/>
      <c r="C2" s="210" t="s">
        <v>186</v>
      </c>
      <c r="D2" s="211"/>
    </row>
    <row r="3" spans="1:8" ht="183.75" customHeight="1" x14ac:dyDescent="0.45">
      <c r="A3" s="624" t="s">
        <v>137</v>
      </c>
      <c r="B3" s="212" t="s">
        <v>138</v>
      </c>
      <c r="C3" s="213" t="s">
        <v>187</v>
      </c>
      <c r="D3" s="213" t="s">
        <v>139</v>
      </c>
      <c r="H3" s="214" t="s">
        <v>389</v>
      </c>
    </row>
    <row r="4" spans="1:8" ht="183.75" customHeight="1" x14ac:dyDescent="0.45">
      <c r="A4" s="625"/>
      <c r="B4" s="212" t="s">
        <v>138</v>
      </c>
      <c r="C4" s="213" t="s">
        <v>390</v>
      </c>
      <c r="D4" s="213" t="s">
        <v>391</v>
      </c>
    </row>
    <row r="5" spans="1:8" ht="183.75" customHeight="1" x14ac:dyDescent="0.45">
      <c r="A5" s="626"/>
      <c r="B5" s="212" t="s">
        <v>138</v>
      </c>
      <c r="C5" s="213" t="s">
        <v>141</v>
      </c>
      <c r="D5" s="213" t="s">
        <v>142</v>
      </c>
    </row>
    <row r="6" spans="1:8" ht="183.75" customHeight="1" x14ac:dyDescent="0.45">
      <c r="A6" s="619" t="s">
        <v>32</v>
      </c>
      <c r="B6" s="215" t="s">
        <v>138</v>
      </c>
      <c r="C6" s="216" t="s">
        <v>143</v>
      </c>
      <c r="D6" s="216" t="s">
        <v>392</v>
      </c>
    </row>
    <row r="7" spans="1:8" ht="183.75" customHeight="1" x14ac:dyDescent="0.45">
      <c r="A7" s="620"/>
      <c r="B7" s="215" t="s">
        <v>138</v>
      </c>
      <c r="C7" s="216" t="s">
        <v>144</v>
      </c>
      <c r="D7" s="216" t="s">
        <v>145</v>
      </c>
    </row>
    <row r="8" spans="1:8" ht="183.75" customHeight="1" x14ac:dyDescent="0.45">
      <c r="A8" s="621"/>
      <c r="B8" s="215" t="s">
        <v>138</v>
      </c>
      <c r="C8" s="216" t="s">
        <v>146</v>
      </c>
      <c r="D8" s="216" t="s">
        <v>147</v>
      </c>
    </row>
    <row r="9" spans="1:8" ht="183.75" customHeight="1" x14ac:dyDescent="0.45">
      <c r="A9" s="616" t="s">
        <v>148</v>
      </c>
      <c r="B9" s="212" t="s">
        <v>138</v>
      </c>
      <c r="C9" s="213" t="s">
        <v>149</v>
      </c>
      <c r="D9" s="213" t="s">
        <v>150</v>
      </c>
    </row>
    <row r="10" spans="1:8" ht="183.75" customHeight="1" x14ac:dyDescent="0.45">
      <c r="A10" s="618"/>
      <c r="B10" s="212" t="s">
        <v>138</v>
      </c>
      <c r="C10" s="213" t="s">
        <v>151</v>
      </c>
      <c r="D10" s="213" t="s">
        <v>152</v>
      </c>
    </row>
    <row r="11" spans="1:8" ht="183.75" customHeight="1" x14ac:dyDescent="0.45">
      <c r="A11" s="217" t="s">
        <v>29</v>
      </c>
      <c r="B11" s="215" t="s">
        <v>138</v>
      </c>
      <c r="C11" s="216" t="s">
        <v>153</v>
      </c>
      <c r="D11" s="216" t="s">
        <v>393</v>
      </c>
    </row>
    <row r="12" spans="1:8" ht="183.75" customHeight="1" x14ac:dyDescent="0.45">
      <c r="A12" s="624" t="s">
        <v>34</v>
      </c>
      <c r="B12" s="212" t="s">
        <v>138</v>
      </c>
      <c r="C12" s="213" t="s">
        <v>154</v>
      </c>
      <c r="D12" s="213" t="s">
        <v>155</v>
      </c>
    </row>
    <row r="13" spans="1:8" ht="183.75" customHeight="1" x14ac:dyDescent="0.45">
      <c r="A13" s="626"/>
      <c r="B13" s="212" t="s">
        <v>138</v>
      </c>
      <c r="C13" s="213" t="s">
        <v>156</v>
      </c>
      <c r="D13" s="213" t="s">
        <v>157</v>
      </c>
    </row>
    <row r="14" spans="1:8" ht="183.75" customHeight="1" x14ac:dyDescent="0.45">
      <c r="A14" s="627" t="s">
        <v>158</v>
      </c>
      <c r="B14" s="215" t="s">
        <v>138</v>
      </c>
      <c r="C14" s="216" t="s">
        <v>159</v>
      </c>
      <c r="D14" s="216" t="s">
        <v>160</v>
      </c>
    </row>
    <row r="15" spans="1:8" ht="183.75" customHeight="1" x14ac:dyDescent="0.45">
      <c r="A15" s="628"/>
      <c r="B15" s="215" t="s">
        <v>138</v>
      </c>
      <c r="C15" s="216" t="s">
        <v>161</v>
      </c>
      <c r="D15" s="216" t="s">
        <v>162</v>
      </c>
    </row>
    <row r="16" spans="1:8" ht="183.75" customHeight="1" x14ac:dyDescent="0.45">
      <c r="A16" s="616" t="s">
        <v>33</v>
      </c>
      <c r="B16" s="212" t="s">
        <v>138</v>
      </c>
      <c r="C16" s="213" t="s">
        <v>163</v>
      </c>
      <c r="D16" s="213" t="s">
        <v>164</v>
      </c>
    </row>
    <row r="17" spans="1:4" ht="183.75" customHeight="1" x14ac:dyDescent="0.45">
      <c r="A17" s="617"/>
      <c r="B17" s="212" t="s">
        <v>138</v>
      </c>
      <c r="C17" s="213" t="s">
        <v>165</v>
      </c>
      <c r="D17" s="213" t="s">
        <v>166</v>
      </c>
    </row>
    <row r="18" spans="1:4" ht="183.75" customHeight="1" x14ac:dyDescent="0.45">
      <c r="A18" s="618"/>
      <c r="B18" s="212" t="s">
        <v>138</v>
      </c>
      <c r="C18" s="213" t="s">
        <v>167</v>
      </c>
      <c r="D18" s="213" t="s">
        <v>168</v>
      </c>
    </row>
    <row r="19" spans="1:4" ht="183.75" customHeight="1" x14ac:dyDescent="0.45">
      <c r="A19" s="619" t="s">
        <v>27</v>
      </c>
      <c r="B19" s="215" t="s">
        <v>138</v>
      </c>
      <c r="C19" s="216" t="s">
        <v>169</v>
      </c>
      <c r="D19" s="216" t="s">
        <v>170</v>
      </c>
    </row>
    <row r="20" spans="1:4" ht="183.75" customHeight="1" x14ac:dyDescent="0.45">
      <c r="A20" s="620"/>
      <c r="B20" s="215" t="s">
        <v>138</v>
      </c>
      <c r="C20" s="216" t="s">
        <v>171</v>
      </c>
      <c r="D20" s="216" t="s">
        <v>172</v>
      </c>
    </row>
    <row r="21" spans="1:4" ht="183.75" customHeight="1" x14ac:dyDescent="0.45">
      <c r="A21" s="620"/>
      <c r="B21" s="215" t="s">
        <v>138</v>
      </c>
      <c r="C21" s="216" t="s">
        <v>173</v>
      </c>
      <c r="D21" s="216" t="s">
        <v>174</v>
      </c>
    </row>
    <row r="22" spans="1:4" ht="183.75" customHeight="1" x14ac:dyDescent="0.45">
      <c r="A22" s="621"/>
      <c r="B22" s="215" t="s">
        <v>138</v>
      </c>
      <c r="C22" s="216" t="s">
        <v>175</v>
      </c>
      <c r="D22" s="216" t="s">
        <v>176</v>
      </c>
    </row>
  </sheetData>
  <mergeCells count="8">
    <mergeCell ref="A16:A18"/>
    <mergeCell ref="A19:A22"/>
    <mergeCell ref="A2:B2"/>
    <mergeCell ref="A3:A5"/>
    <mergeCell ref="A6:A8"/>
    <mergeCell ref="A9:A10"/>
    <mergeCell ref="A12:A13"/>
    <mergeCell ref="A14:A1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77777"/>
  </sheetPr>
  <dimension ref="B1:T1048576"/>
  <sheetViews>
    <sheetView showGridLines="0" tabSelected="1" workbookViewId="0">
      <selection activeCell="L7" sqref="L7:S7"/>
    </sheetView>
  </sheetViews>
  <sheetFormatPr defaultRowHeight="15" x14ac:dyDescent="0.25"/>
  <cols>
    <col min="1" max="1" width="3.7109375" customWidth="1"/>
    <col min="2" max="2" width="9.42578125" customWidth="1"/>
    <col min="7" max="7" width="13.42578125" customWidth="1"/>
    <col min="9" max="9" width="11.5703125" customWidth="1"/>
    <col min="19" max="19" width="17.7109375" customWidth="1"/>
  </cols>
  <sheetData>
    <row r="1" spans="2:20" ht="15.75" thickBot="1" x14ac:dyDescent="0.3"/>
    <row r="2" spans="2:20" x14ac:dyDescent="0.25">
      <c r="B2" s="39"/>
      <c r="C2" s="40"/>
      <c r="D2" s="40"/>
      <c r="E2" s="40"/>
      <c r="F2" s="40"/>
      <c r="G2" s="40"/>
      <c r="H2" s="40"/>
      <c r="I2" s="41"/>
      <c r="L2" s="299"/>
      <c r="M2" s="300"/>
      <c r="N2" s="300"/>
      <c r="O2" s="300"/>
      <c r="P2" s="300"/>
      <c r="Q2" s="300"/>
    </row>
    <row r="3" spans="2:20" ht="44.25" customHeight="1" thickBot="1" x14ac:dyDescent="0.3">
      <c r="B3" s="42"/>
      <c r="C3" s="4"/>
      <c r="D3" s="4"/>
      <c r="E3" s="4"/>
      <c r="F3" s="4"/>
      <c r="G3" s="4"/>
      <c r="H3" s="4"/>
      <c r="I3" s="43"/>
      <c r="L3" s="300"/>
      <c r="M3" s="300"/>
      <c r="N3" s="300"/>
      <c r="O3" s="300"/>
      <c r="P3" s="300"/>
      <c r="Q3" s="300"/>
    </row>
    <row r="4" spans="2:20" x14ac:dyDescent="0.25">
      <c r="B4" s="310" t="s">
        <v>224</v>
      </c>
      <c r="C4" s="311"/>
      <c r="D4" s="311"/>
      <c r="E4" s="311"/>
      <c r="F4" s="311"/>
      <c r="G4" s="311"/>
      <c r="H4" s="311"/>
      <c r="I4" s="312"/>
      <c r="L4" s="304" t="s">
        <v>219</v>
      </c>
      <c r="M4" s="305"/>
      <c r="N4" s="305"/>
      <c r="O4" s="305"/>
      <c r="P4" s="305"/>
      <c r="Q4" s="305"/>
      <c r="R4" s="305"/>
      <c r="S4" s="306"/>
    </row>
    <row r="5" spans="2:20" ht="9" customHeight="1" thickBot="1" x14ac:dyDescent="0.3">
      <c r="B5" s="42"/>
      <c r="C5" s="4"/>
      <c r="D5" s="4"/>
      <c r="E5" s="4"/>
      <c r="F5" s="4"/>
      <c r="G5" s="4"/>
      <c r="H5" s="4"/>
      <c r="I5" s="43"/>
      <c r="L5" s="307"/>
      <c r="M5" s="308"/>
      <c r="N5" s="308"/>
      <c r="O5" s="308"/>
      <c r="P5" s="308"/>
      <c r="Q5" s="308"/>
      <c r="R5" s="308"/>
      <c r="S5" s="309"/>
    </row>
    <row r="6" spans="2:20" ht="59.25" customHeight="1" thickBot="1" x14ac:dyDescent="0.3">
      <c r="B6" s="313" t="s">
        <v>408</v>
      </c>
      <c r="C6" s="314"/>
      <c r="D6" s="314"/>
      <c r="E6" s="314"/>
      <c r="F6" s="314"/>
      <c r="G6" s="314"/>
      <c r="H6" s="314"/>
      <c r="I6" s="315"/>
      <c r="L6" s="301" t="s">
        <v>226</v>
      </c>
      <c r="M6" s="302"/>
      <c r="N6" s="302"/>
      <c r="O6" s="302"/>
      <c r="P6" s="302"/>
      <c r="Q6" s="302"/>
      <c r="R6" s="302"/>
      <c r="S6" s="303"/>
    </row>
    <row r="7" spans="2:20" ht="58.5" customHeight="1" thickBot="1" x14ac:dyDescent="0.3">
      <c r="B7" s="316" t="s">
        <v>228</v>
      </c>
      <c r="C7" s="317"/>
      <c r="D7" s="317"/>
      <c r="E7" s="317"/>
      <c r="F7" s="317"/>
      <c r="G7" s="317"/>
      <c r="H7" s="317"/>
      <c r="I7" s="318"/>
      <c r="L7" s="325" t="s">
        <v>227</v>
      </c>
      <c r="M7" s="326"/>
      <c r="N7" s="326"/>
      <c r="O7" s="326"/>
      <c r="P7" s="326"/>
      <c r="Q7" s="326"/>
      <c r="R7" s="326"/>
      <c r="S7" s="327"/>
    </row>
    <row r="8" spans="2:20" ht="36.75" customHeight="1" thickBot="1" x14ac:dyDescent="0.3">
      <c r="B8" s="316" t="s">
        <v>225</v>
      </c>
      <c r="C8" s="317"/>
      <c r="D8" s="317"/>
      <c r="E8" s="317"/>
      <c r="F8" s="317"/>
      <c r="G8" s="317"/>
      <c r="H8" s="317"/>
      <c r="I8" s="318"/>
      <c r="L8" s="319" t="s">
        <v>419</v>
      </c>
      <c r="M8" s="320"/>
      <c r="N8" s="320"/>
      <c r="O8" s="320"/>
      <c r="P8" s="320"/>
      <c r="Q8" s="320"/>
      <c r="R8" s="320"/>
      <c r="S8" s="321"/>
      <c r="T8" s="92"/>
    </row>
    <row r="9" spans="2:20" ht="52.5" customHeight="1" thickBot="1" x14ac:dyDescent="0.3">
      <c r="B9" s="316" t="s">
        <v>95</v>
      </c>
      <c r="C9" s="317"/>
      <c r="D9" s="317"/>
      <c r="E9" s="317"/>
      <c r="F9" s="317"/>
      <c r="G9" s="317"/>
      <c r="H9" s="317"/>
      <c r="I9" s="318"/>
      <c r="L9" s="319" t="s">
        <v>420</v>
      </c>
      <c r="M9" s="320"/>
      <c r="N9" s="320"/>
      <c r="O9" s="320"/>
      <c r="P9" s="320"/>
      <c r="Q9" s="320"/>
      <c r="R9" s="320"/>
      <c r="S9" s="321"/>
    </row>
    <row r="10" spans="2:20" ht="57.75" customHeight="1" thickBot="1" x14ac:dyDescent="0.3">
      <c r="B10" s="331" t="s">
        <v>394</v>
      </c>
      <c r="C10" s="332"/>
      <c r="D10" s="332"/>
      <c r="E10" s="332"/>
      <c r="F10" s="332"/>
      <c r="G10" s="332"/>
      <c r="H10" s="332"/>
      <c r="I10" s="333"/>
    </row>
    <row r="11" spans="2:20" ht="54" customHeight="1" thickBot="1" x14ac:dyDescent="0.3">
      <c r="B11" s="328" t="s">
        <v>407</v>
      </c>
      <c r="C11" s="329"/>
      <c r="D11" s="329"/>
      <c r="E11" s="329"/>
      <c r="F11" s="329"/>
      <c r="G11" s="329"/>
      <c r="H11" s="329"/>
      <c r="I11" s="330"/>
    </row>
    <row r="12" spans="2:20" ht="66" customHeight="1" thickBot="1" x14ac:dyDescent="0.3">
      <c r="B12" s="328" t="s">
        <v>395</v>
      </c>
      <c r="C12" s="329"/>
      <c r="D12" s="329"/>
      <c r="E12" s="329"/>
      <c r="F12" s="329"/>
      <c r="G12" s="329"/>
      <c r="H12" s="329"/>
      <c r="I12" s="330"/>
      <c r="J12" s="334"/>
      <c r="K12" s="335"/>
      <c r="L12" s="335"/>
      <c r="M12" s="335"/>
      <c r="N12" s="335"/>
      <c r="O12" s="335"/>
    </row>
    <row r="13" spans="2:20" ht="15.75" thickBot="1" x14ac:dyDescent="0.3">
      <c r="B13" s="328" t="s">
        <v>396</v>
      </c>
      <c r="C13" s="329"/>
      <c r="D13" s="329"/>
      <c r="E13" s="329"/>
      <c r="F13" s="329"/>
      <c r="G13" s="329"/>
      <c r="H13" s="329"/>
      <c r="I13" s="330"/>
      <c r="J13" s="92"/>
      <c r="K13" s="92"/>
      <c r="L13" s="92"/>
    </row>
    <row r="14" spans="2:20" ht="39.75" hidden="1" customHeight="1" thickBot="1" x14ac:dyDescent="0.3">
      <c r="B14" s="322" t="s">
        <v>397</v>
      </c>
      <c r="C14" s="323"/>
      <c r="D14" s="323"/>
      <c r="E14" s="323"/>
      <c r="F14" s="323"/>
      <c r="G14" s="323"/>
      <c r="H14" s="323"/>
      <c r="I14" s="324"/>
      <c r="J14" s="6"/>
      <c r="K14" s="6"/>
    </row>
    <row r="1048576" hidden="1" x14ac:dyDescent="0.25"/>
  </sheetData>
  <mergeCells count="17">
    <mergeCell ref="B7:I7"/>
    <mergeCell ref="B8:I8"/>
    <mergeCell ref="B9:I9"/>
    <mergeCell ref="L9:S9"/>
    <mergeCell ref="B14:I14"/>
    <mergeCell ref="L7:S7"/>
    <mergeCell ref="L8:S8"/>
    <mergeCell ref="B13:I13"/>
    <mergeCell ref="B11:I11"/>
    <mergeCell ref="B12:I12"/>
    <mergeCell ref="B10:I10"/>
    <mergeCell ref="J12:O12"/>
    <mergeCell ref="L2:Q3"/>
    <mergeCell ref="L6:S6"/>
    <mergeCell ref="L4:S5"/>
    <mergeCell ref="B4:I4"/>
    <mergeCell ref="B6:I6"/>
  </mergeCells>
  <hyperlinks>
    <hyperlink ref="L6:S6" r:id="rId1" display="https://transparencia.caubr.gov.br/resolucao200/" xr:uid="{00000000-0004-0000-0100-000000000000}"/>
    <hyperlink ref="L7:S7" r:id="rId2" location=":~:text=Disp%C3%B5e%20sobre%20anuidades%2C%20revis%C3%A3o%2C%20parcelamento,ativa%20e%20d%C3%A1%20outras%20provid%C3%AAncias." display="RESOLUÇÃO N° 193, DE 24 DE SETEMBRO DE 2020" xr:uid="{00000000-0004-0000-0100-000001000000}"/>
    <hyperlink ref="L8:S8" r:id="rId3" display="Projetos Específicos- DPOBR Nº 0097-08.A/2019" xr:uid="{00000000-0004-0000-0100-000002000000}"/>
    <hyperlink ref="L9:S9" r:id="rId4" display="Projetos Específicos- DPOBR Nº 0084-03/2018" xr:uid="{00000000-0004-0000-0100-000003000000}"/>
  </hyperlinks>
  <pageMargins left="0.511811024" right="0.511811024" top="0.78740157499999996" bottom="0.78740157499999996" header="0.31496062000000002" footer="0.31496062000000002"/>
  <pageSetup paperSize="9" orientation="portrait" verticalDpi="0" r:id="rId5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77777"/>
  </sheetPr>
  <dimension ref="A1:U31"/>
  <sheetViews>
    <sheetView showGridLines="0" zoomScaleNormal="100" zoomScaleSheetLayoutView="90" workbookViewId="0">
      <selection activeCell="L27" sqref="L27"/>
    </sheetView>
  </sheetViews>
  <sheetFormatPr defaultColWidth="9.140625" defaultRowHeight="15" x14ac:dyDescent="0.25"/>
  <cols>
    <col min="1" max="16384" width="9.140625" style="78"/>
  </cols>
  <sheetData>
    <row r="1" spans="1:21" s="6" customFormat="1" ht="51.75" customHeight="1" x14ac:dyDescent="0.25">
      <c r="A1" s="338" t="s">
        <v>229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9"/>
      <c r="M1" s="339"/>
      <c r="N1" s="339"/>
      <c r="O1" s="339"/>
      <c r="P1" s="339"/>
    </row>
    <row r="2" spans="1:21" ht="36" customHeight="1" x14ac:dyDescent="0.25">
      <c r="A2" s="336" t="s">
        <v>42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</row>
    <row r="3" spans="1:21" ht="15.75" customHeight="1" x14ac:dyDescent="0.25">
      <c r="A3" s="340"/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2" t="s">
        <v>230</v>
      </c>
      <c r="M3" s="343"/>
      <c r="N3" s="343"/>
      <c r="O3" s="343"/>
      <c r="P3" s="343"/>
      <c r="Q3" s="343"/>
      <c r="R3" s="343"/>
      <c r="S3" s="343"/>
      <c r="T3" s="343"/>
      <c r="U3" s="343"/>
    </row>
    <row r="4" spans="1:21" ht="15.75" customHeight="1" x14ac:dyDescent="0.25">
      <c r="A4" s="340"/>
      <c r="B4" s="341"/>
      <c r="C4" s="341"/>
      <c r="D4" s="341"/>
      <c r="E4" s="341"/>
      <c r="F4" s="341"/>
      <c r="G4" s="341"/>
      <c r="H4" s="341"/>
      <c r="I4" s="341"/>
      <c r="J4" s="341"/>
      <c r="K4" s="341"/>
      <c r="L4" s="343"/>
      <c r="M4" s="343"/>
      <c r="N4" s="343"/>
      <c r="O4" s="343"/>
      <c r="P4" s="343"/>
      <c r="Q4" s="343"/>
      <c r="R4" s="343"/>
      <c r="S4" s="343"/>
      <c r="T4" s="343"/>
      <c r="U4" s="343"/>
    </row>
    <row r="5" spans="1:21" ht="15.75" customHeight="1" x14ac:dyDescent="0.25">
      <c r="A5" s="340"/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3"/>
      <c r="M5" s="343"/>
      <c r="N5" s="343"/>
      <c r="O5" s="343"/>
      <c r="P5" s="343"/>
      <c r="Q5" s="343"/>
      <c r="R5" s="343"/>
      <c r="S5" s="343"/>
      <c r="T5" s="343"/>
      <c r="U5" s="343"/>
    </row>
    <row r="6" spans="1:21" ht="15.75" customHeight="1" x14ac:dyDescent="0.25">
      <c r="A6" s="340"/>
      <c r="B6" s="341"/>
      <c r="C6" s="341"/>
      <c r="D6" s="341"/>
      <c r="E6" s="341"/>
      <c r="F6" s="341"/>
      <c r="G6" s="341"/>
      <c r="H6" s="341"/>
      <c r="I6" s="341"/>
      <c r="J6" s="341"/>
      <c r="K6" s="341"/>
      <c r="L6" s="343"/>
      <c r="M6" s="343"/>
      <c r="N6" s="343"/>
      <c r="O6" s="343"/>
      <c r="P6" s="343"/>
      <c r="Q6" s="343"/>
      <c r="R6" s="343"/>
      <c r="S6" s="343"/>
      <c r="T6" s="343"/>
      <c r="U6" s="343"/>
    </row>
    <row r="7" spans="1:21" ht="15.75" customHeight="1" x14ac:dyDescent="0.25">
      <c r="A7" s="340"/>
      <c r="B7" s="341"/>
      <c r="C7" s="341"/>
      <c r="D7" s="341"/>
      <c r="E7" s="341"/>
      <c r="F7" s="341"/>
      <c r="G7" s="341"/>
      <c r="H7" s="341"/>
      <c r="I7" s="341"/>
      <c r="J7" s="341"/>
      <c r="K7" s="341"/>
      <c r="L7" s="343"/>
      <c r="M7" s="343"/>
      <c r="N7" s="343"/>
      <c r="O7" s="343"/>
      <c r="P7" s="343"/>
      <c r="Q7" s="343"/>
      <c r="R7" s="343"/>
      <c r="S7" s="343"/>
      <c r="T7" s="343"/>
      <c r="U7" s="343"/>
    </row>
    <row r="8" spans="1:21" ht="15.75" customHeight="1" x14ac:dyDescent="0.25">
      <c r="A8" s="340"/>
      <c r="B8" s="341"/>
      <c r="C8" s="341"/>
      <c r="D8" s="341"/>
      <c r="E8" s="341"/>
      <c r="F8" s="341"/>
      <c r="G8" s="341"/>
      <c r="H8" s="341"/>
      <c r="I8" s="341"/>
      <c r="J8" s="341"/>
      <c r="K8" s="341"/>
      <c r="L8" s="343"/>
      <c r="M8" s="343"/>
      <c r="N8" s="343"/>
      <c r="O8" s="343"/>
      <c r="P8" s="343"/>
      <c r="Q8" s="343"/>
      <c r="R8" s="343"/>
      <c r="S8" s="343"/>
      <c r="T8" s="343"/>
      <c r="U8" s="343"/>
    </row>
    <row r="9" spans="1:21" ht="15.75" customHeight="1" x14ac:dyDescent="0.25">
      <c r="A9" s="340"/>
      <c r="B9" s="341"/>
      <c r="C9" s="341"/>
      <c r="D9" s="341"/>
      <c r="E9" s="341"/>
      <c r="F9" s="341"/>
      <c r="G9" s="341"/>
      <c r="H9" s="341"/>
      <c r="I9" s="341"/>
      <c r="J9" s="341"/>
      <c r="K9" s="341"/>
      <c r="L9" s="343"/>
      <c r="M9" s="343"/>
      <c r="N9" s="343"/>
      <c r="O9" s="343"/>
      <c r="P9" s="343"/>
      <c r="Q9" s="343"/>
      <c r="R9" s="343"/>
      <c r="S9" s="343"/>
      <c r="T9" s="343"/>
      <c r="U9" s="343"/>
    </row>
    <row r="10" spans="1:21" ht="15.75" customHeight="1" x14ac:dyDescent="0.25">
      <c r="A10" s="340"/>
      <c r="B10" s="341"/>
      <c r="C10" s="341"/>
      <c r="D10" s="341"/>
      <c r="E10" s="341"/>
      <c r="F10" s="341"/>
      <c r="G10" s="341"/>
      <c r="H10" s="341"/>
      <c r="I10" s="341"/>
      <c r="J10" s="341"/>
      <c r="K10" s="341"/>
      <c r="L10" s="343"/>
      <c r="M10" s="343"/>
      <c r="N10" s="343"/>
      <c r="O10" s="343"/>
      <c r="P10" s="343"/>
      <c r="Q10" s="343"/>
      <c r="R10" s="343"/>
      <c r="S10" s="343"/>
      <c r="T10" s="343"/>
      <c r="U10" s="343"/>
    </row>
    <row r="11" spans="1:21" ht="15.75" customHeight="1" x14ac:dyDescent="0.25">
      <c r="A11" s="340"/>
      <c r="B11" s="341"/>
      <c r="C11" s="341"/>
      <c r="D11" s="341"/>
      <c r="E11" s="341"/>
      <c r="F11" s="341"/>
      <c r="G11" s="341"/>
      <c r="H11" s="341"/>
      <c r="I11" s="341"/>
      <c r="J11" s="341"/>
      <c r="K11" s="341"/>
      <c r="L11" s="343"/>
      <c r="M11" s="343"/>
      <c r="N11" s="343"/>
      <c r="O11" s="343"/>
      <c r="P11" s="343"/>
      <c r="Q11" s="343"/>
      <c r="R11" s="343"/>
      <c r="S11" s="343"/>
      <c r="T11" s="343"/>
      <c r="U11" s="343"/>
    </row>
    <row r="12" spans="1:21" ht="15.75" customHeight="1" x14ac:dyDescent="0.25">
      <c r="A12" s="340"/>
      <c r="B12" s="341"/>
      <c r="C12" s="341"/>
      <c r="D12" s="341"/>
      <c r="E12" s="341"/>
      <c r="F12" s="341"/>
      <c r="G12" s="341"/>
      <c r="H12" s="341"/>
      <c r="I12" s="341"/>
      <c r="J12" s="341"/>
      <c r="K12" s="341"/>
    </row>
    <row r="13" spans="1:21" ht="15.75" customHeight="1" x14ac:dyDescent="0.25">
      <c r="A13" s="340"/>
      <c r="B13" s="341"/>
      <c r="C13" s="341"/>
      <c r="D13" s="341"/>
      <c r="E13" s="341"/>
      <c r="F13" s="341"/>
      <c r="G13" s="341"/>
      <c r="H13" s="341"/>
      <c r="I13" s="341"/>
      <c r="J13" s="341"/>
      <c r="K13" s="341"/>
    </row>
    <row r="14" spans="1:21" ht="15" customHeight="1" x14ac:dyDescent="0.25">
      <c r="A14" s="340"/>
      <c r="B14" s="341"/>
      <c r="C14" s="341"/>
      <c r="D14" s="341"/>
      <c r="E14" s="341"/>
      <c r="F14" s="341"/>
      <c r="G14" s="341"/>
      <c r="H14" s="341"/>
      <c r="I14" s="341"/>
      <c r="J14" s="341"/>
      <c r="K14" s="341"/>
    </row>
    <row r="15" spans="1:21" ht="15.75" customHeight="1" x14ac:dyDescent="0.25">
      <c r="A15" s="340"/>
      <c r="B15" s="341"/>
      <c r="C15" s="341"/>
      <c r="D15" s="341"/>
      <c r="E15" s="341"/>
      <c r="F15" s="341"/>
      <c r="G15" s="341"/>
      <c r="H15" s="341"/>
      <c r="I15" s="341"/>
      <c r="J15" s="341"/>
      <c r="K15" s="341"/>
    </row>
    <row r="16" spans="1:21" ht="15.75" customHeight="1" x14ac:dyDescent="0.25">
      <c r="A16" s="340"/>
      <c r="B16" s="341"/>
      <c r="C16" s="341"/>
      <c r="D16" s="341"/>
      <c r="E16" s="341"/>
      <c r="F16" s="341"/>
      <c r="G16" s="341"/>
      <c r="H16" s="341"/>
      <c r="I16" s="341"/>
      <c r="J16" s="341"/>
      <c r="K16" s="341"/>
    </row>
    <row r="17" spans="1:18" ht="15.75" customHeight="1" x14ac:dyDescent="0.25">
      <c r="A17" s="340"/>
      <c r="B17" s="341"/>
      <c r="C17" s="341"/>
      <c r="D17" s="341"/>
      <c r="E17" s="341"/>
      <c r="F17" s="341"/>
      <c r="G17" s="341"/>
      <c r="H17" s="341"/>
      <c r="I17" s="341"/>
      <c r="J17" s="341"/>
      <c r="K17" s="341"/>
    </row>
    <row r="18" spans="1:18" ht="15.75" customHeight="1" x14ac:dyDescent="0.25">
      <c r="A18" s="340"/>
      <c r="B18" s="341"/>
      <c r="C18" s="341"/>
      <c r="D18" s="341"/>
      <c r="E18" s="341"/>
      <c r="F18" s="341"/>
      <c r="G18" s="341"/>
      <c r="H18" s="341"/>
      <c r="I18" s="341"/>
      <c r="J18" s="341"/>
      <c r="K18" s="341"/>
    </row>
    <row r="19" spans="1:18" ht="15.75" customHeight="1" x14ac:dyDescent="0.25">
      <c r="A19" s="340"/>
      <c r="B19" s="341"/>
      <c r="C19" s="341"/>
      <c r="D19" s="341"/>
      <c r="E19" s="341"/>
      <c r="F19" s="341"/>
      <c r="G19" s="341"/>
      <c r="H19" s="341"/>
      <c r="I19" s="341"/>
      <c r="J19" s="341"/>
      <c r="K19" s="341"/>
    </row>
    <row r="20" spans="1:18" ht="15.75" customHeight="1" x14ac:dyDescent="0.25">
      <c r="A20" s="340"/>
      <c r="B20" s="341"/>
      <c r="C20" s="341"/>
      <c r="D20" s="341"/>
      <c r="E20" s="341"/>
      <c r="F20" s="341"/>
      <c r="G20" s="341"/>
      <c r="H20" s="341"/>
      <c r="I20" s="341"/>
      <c r="J20" s="341"/>
      <c r="K20" s="341"/>
    </row>
    <row r="21" spans="1:18" ht="15.75" customHeight="1" x14ac:dyDescent="0.25">
      <c r="A21" s="340"/>
      <c r="B21" s="341"/>
      <c r="C21" s="341"/>
      <c r="D21" s="341"/>
      <c r="E21" s="341"/>
      <c r="F21" s="341"/>
      <c r="G21" s="341"/>
      <c r="H21" s="341"/>
      <c r="I21" s="341"/>
      <c r="J21" s="341"/>
      <c r="K21" s="341"/>
    </row>
    <row r="22" spans="1:18" ht="15.75" customHeight="1" x14ac:dyDescent="0.25">
      <c r="A22" s="340"/>
      <c r="B22" s="341"/>
      <c r="C22" s="341"/>
      <c r="D22" s="341"/>
      <c r="E22" s="341"/>
      <c r="F22" s="341"/>
      <c r="G22" s="341"/>
      <c r="H22" s="341"/>
      <c r="I22" s="341"/>
      <c r="J22" s="341"/>
      <c r="K22" s="341"/>
    </row>
    <row r="23" spans="1:18" ht="15.75" customHeight="1" x14ac:dyDescent="0.25">
      <c r="A23" s="340"/>
      <c r="B23" s="341"/>
      <c r="C23" s="341"/>
      <c r="D23" s="341"/>
      <c r="E23" s="341"/>
      <c r="F23" s="341"/>
      <c r="G23" s="341"/>
      <c r="H23" s="341"/>
      <c r="I23" s="341"/>
      <c r="J23" s="341"/>
      <c r="K23" s="341"/>
    </row>
    <row r="24" spans="1:18" ht="15" customHeight="1" x14ac:dyDescent="0.25">
      <c r="A24" s="340"/>
      <c r="B24" s="341"/>
      <c r="C24" s="341"/>
      <c r="D24" s="341"/>
      <c r="E24" s="341"/>
      <c r="F24" s="341"/>
      <c r="G24" s="341"/>
      <c r="H24" s="341"/>
      <c r="I24" s="341"/>
      <c r="J24" s="341"/>
      <c r="K24" s="341"/>
    </row>
    <row r="25" spans="1:18" ht="15.75" customHeight="1" x14ac:dyDescent="0.25">
      <c r="A25" s="340"/>
      <c r="B25" s="341"/>
      <c r="C25" s="341"/>
      <c r="D25" s="341"/>
      <c r="E25" s="341"/>
      <c r="F25" s="341"/>
      <c r="G25" s="341"/>
      <c r="H25" s="341"/>
      <c r="I25" s="341"/>
      <c r="J25" s="341"/>
      <c r="K25" s="341"/>
    </row>
    <row r="26" spans="1:18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19"/>
      <c r="M26" s="19"/>
      <c r="N26" s="19"/>
      <c r="O26" s="19"/>
      <c r="P26" s="19"/>
      <c r="Q26" s="19"/>
      <c r="R26" s="19"/>
    </row>
    <row r="28" spans="1:18" ht="42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8" ht="36" customHeight="1" x14ac:dyDescent="0.25">
      <c r="A29" s="336" t="s">
        <v>182</v>
      </c>
      <c r="B29" s="337"/>
      <c r="C29" s="337"/>
      <c r="D29" s="337"/>
      <c r="E29" s="337"/>
      <c r="F29" s="337"/>
      <c r="G29" s="337"/>
      <c r="H29" s="337"/>
      <c r="I29" s="337"/>
      <c r="J29" s="337"/>
      <c r="K29" s="337"/>
      <c r="L29" s="1"/>
      <c r="M29" s="1"/>
      <c r="N29" s="1"/>
      <c r="O29" s="1"/>
      <c r="P29" s="1"/>
    </row>
    <row r="31" spans="1:18" ht="8.25" customHeight="1" x14ac:dyDescent="0.25"/>
  </sheetData>
  <mergeCells count="6">
    <mergeCell ref="A29:K29"/>
    <mergeCell ref="A1:K1"/>
    <mergeCell ref="L1:P1"/>
    <mergeCell ref="A2:K2"/>
    <mergeCell ref="A3:K25"/>
    <mergeCell ref="L3:U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owerPoint.Slide.12" shapeId="35841" r:id="rId4">
          <objectPr defaultSize="0" autoPict="0" r:id="rId5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10</xdr:col>
                <xdr:colOff>581025</xdr:colOff>
                <xdr:row>26</xdr:row>
                <xdr:rowOff>28575</xdr:rowOff>
              </to>
            </anchor>
          </objectPr>
        </oleObject>
      </mc:Choice>
      <mc:Fallback>
        <oleObject progId="PowerPoint.Slide.12" shapeId="35841" r:id="rId4"/>
      </mc:Fallback>
    </mc:AlternateContent>
    <mc:AlternateContent xmlns:mc="http://schemas.openxmlformats.org/markup-compatibility/2006">
      <mc:Choice Requires="x14">
        <oleObject progId="PowerPoint.Slide.12" shapeId="35842" r:id="rId6">
          <objectPr defaultSize="0" autoPict="0" r:id="rId7">
            <anchor moveWithCells="1">
              <from>
                <xdr:col>0</xdr:col>
                <xdr:colOff>0</xdr:colOff>
                <xdr:row>29</xdr:row>
                <xdr:rowOff>0</xdr:rowOff>
              </from>
              <to>
                <xdr:col>11</xdr:col>
                <xdr:colOff>28575</xdr:colOff>
                <xdr:row>48</xdr:row>
                <xdr:rowOff>38100</xdr:rowOff>
              </to>
            </anchor>
          </objectPr>
        </oleObject>
      </mc:Choice>
      <mc:Fallback>
        <oleObject progId="PowerPoint.Slide.12" shapeId="35842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77777"/>
  </sheetPr>
  <dimension ref="A1:S114"/>
  <sheetViews>
    <sheetView showGridLines="0" zoomScale="60" zoomScaleNormal="60" zoomScaleSheetLayoutView="50" workbookViewId="0">
      <selection activeCell="F70" sqref="F70:F71"/>
    </sheetView>
  </sheetViews>
  <sheetFormatPr defaultColWidth="9.140625" defaultRowHeight="23.25" x14ac:dyDescent="0.35"/>
  <cols>
    <col min="1" max="1" width="85.42578125" style="135" customWidth="1"/>
    <col min="2" max="2" width="112.7109375" style="136" customWidth="1"/>
    <col min="3" max="3" width="11.5703125" style="67" customWidth="1"/>
    <col min="4" max="4" width="39.42578125" style="136" customWidth="1"/>
    <col min="5" max="5" width="24.7109375" style="136" customWidth="1"/>
    <col min="6" max="6" width="24.7109375" style="137" customWidth="1"/>
    <col min="7" max="8" width="41.7109375" style="95" customWidth="1"/>
    <col min="9" max="9" width="9.140625" style="95"/>
    <col min="10" max="16384" width="9.140625" style="67"/>
  </cols>
  <sheetData>
    <row r="1" spans="1:19" s="95" customFormat="1" ht="108.75" customHeight="1" x14ac:dyDescent="0.35">
      <c r="A1" s="357" t="s">
        <v>409</v>
      </c>
      <c r="B1" s="358"/>
      <c r="C1" s="358"/>
      <c r="D1" s="358"/>
      <c r="E1" s="358"/>
      <c r="F1" s="358"/>
      <c r="G1" s="220"/>
      <c r="J1" s="67"/>
      <c r="K1" s="67"/>
      <c r="L1" s="67"/>
      <c r="M1" s="67"/>
      <c r="N1" s="67"/>
      <c r="O1" s="67"/>
      <c r="P1" s="67"/>
      <c r="Q1" s="67"/>
      <c r="R1" s="67"/>
      <c r="S1" s="67"/>
    </row>
    <row r="2" spans="1:19" s="95" customFormat="1" ht="45" customHeight="1" x14ac:dyDescent="0.35">
      <c r="A2" s="359" t="s">
        <v>62</v>
      </c>
      <c r="B2" s="359"/>
      <c r="C2" s="359"/>
      <c r="D2" s="359"/>
      <c r="E2" s="359"/>
      <c r="F2" s="359"/>
      <c r="J2" s="67"/>
      <c r="K2" s="67"/>
      <c r="L2" s="67"/>
      <c r="M2" s="67"/>
      <c r="N2" s="67"/>
      <c r="O2" s="67"/>
      <c r="P2" s="67"/>
      <c r="Q2" s="67"/>
      <c r="R2" s="67"/>
      <c r="S2" s="67"/>
    </row>
    <row r="3" spans="1:19" s="95" customFormat="1" ht="45" customHeight="1" x14ac:dyDescent="0.35">
      <c r="A3" s="359" t="s">
        <v>40</v>
      </c>
      <c r="B3" s="359"/>
      <c r="C3" s="359"/>
      <c r="D3" s="359"/>
      <c r="E3" s="359"/>
      <c r="F3" s="359"/>
    </row>
    <row r="4" spans="1:19" s="95" customFormat="1" ht="21" customHeight="1" x14ac:dyDescent="0.35">
      <c r="A4" s="96"/>
      <c r="B4" s="96"/>
      <c r="C4" s="96"/>
      <c r="D4" s="96"/>
      <c r="E4" s="96"/>
      <c r="F4" s="97"/>
    </row>
    <row r="5" spans="1:19" s="95" customFormat="1" ht="45" hidden="1" customHeight="1" x14ac:dyDescent="0.35">
      <c r="A5" s="360" t="s">
        <v>67</v>
      </c>
      <c r="B5" s="361"/>
      <c r="C5" s="361"/>
      <c r="D5" s="361"/>
      <c r="E5" s="362"/>
      <c r="F5" s="363"/>
    </row>
    <row r="6" spans="1:19" s="95" customFormat="1" ht="79.5" hidden="1" customHeight="1" x14ac:dyDescent="0.35">
      <c r="A6" s="98" t="s">
        <v>26</v>
      </c>
      <c r="B6" s="364" t="s">
        <v>64</v>
      </c>
      <c r="C6" s="365"/>
      <c r="D6" s="99" t="s">
        <v>65</v>
      </c>
      <c r="E6" s="100" t="s">
        <v>339</v>
      </c>
      <c r="F6" s="100" t="s">
        <v>338</v>
      </c>
    </row>
    <row r="7" spans="1:19" s="95" customFormat="1" ht="45" hidden="1" customHeight="1" x14ac:dyDescent="0.35">
      <c r="A7" s="349" t="s">
        <v>231</v>
      </c>
      <c r="B7" s="101" t="s">
        <v>232</v>
      </c>
      <c r="C7" s="351" t="s">
        <v>97</v>
      </c>
      <c r="D7" s="353" t="s">
        <v>91</v>
      </c>
      <c r="E7" s="354"/>
      <c r="F7" s="356"/>
      <c r="J7" s="67"/>
      <c r="K7" s="67"/>
      <c r="L7" s="67"/>
      <c r="M7" s="67"/>
      <c r="N7" s="67"/>
      <c r="O7" s="67"/>
      <c r="P7" s="67"/>
      <c r="Q7" s="67"/>
      <c r="R7" s="67"/>
      <c r="S7" s="67"/>
    </row>
    <row r="8" spans="1:19" s="95" customFormat="1" ht="45" hidden="1" customHeight="1" x14ac:dyDescent="0.35">
      <c r="A8" s="350"/>
      <c r="B8" s="102" t="s">
        <v>233</v>
      </c>
      <c r="C8" s="352"/>
      <c r="D8" s="353"/>
      <c r="E8" s="355"/>
      <c r="F8" s="356"/>
      <c r="J8" s="67"/>
      <c r="K8" s="67"/>
      <c r="L8" s="67"/>
      <c r="M8" s="67"/>
      <c r="N8" s="67"/>
      <c r="O8" s="67"/>
      <c r="P8" s="67"/>
      <c r="Q8" s="67"/>
      <c r="R8" s="67"/>
      <c r="S8" s="67"/>
    </row>
    <row r="9" spans="1:19" s="95" customFormat="1" ht="24" customHeight="1" thickBot="1" x14ac:dyDescent="0.4">
      <c r="A9" s="103"/>
      <c r="B9" s="104"/>
      <c r="C9" s="104"/>
      <c r="D9" s="104"/>
      <c r="E9" s="104"/>
      <c r="F9" s="105"/>
      <c r="J9" s="67"/>
      <c r="K9" s="67"/>
      <c r="L9" s="67"/>
      <c r="M9" s="67"/>
      <c r="N9" s="67"/>
      <c r="O9" s="67"/>
      <c r="P9" s="67"/>
      <c r="Q9" s="67"/>
      <c r="R9" s="67"/>
      <c r="S9" s="67"/>
    </row>
    <row r="10" spans="1:19" s="95" customFormat="1" ht="45" customHeight="1" x14ac:dyDescent="0.35">
      <c r="A10" s="344" t="s">
        <v>66</v>
      </c>
      <c r="B10" s="345"/>
      <c r="C10" s="345"/>
      <c r="D10" s="345"/>
      <c r="E10" s="345"/>
      <c r="F10" s="346"/>
      <c r="J10" s="67"/>
      <c r="K10" s="67"/>
      <c r="L10" s="67"/>
      <c r="M10" s="67"/>
      <c r="N10" s="67"/>
      <c r="O10" s="67"/>
      <c r="P10" s="67"/>
      <c r="Q10" s="67"/>
      <c r="R10" s="67"/>
      <c r="S10" s="67"/>
    </row>
    <row r="11" spans="1:19" s="95" customFormat="1" ht="79.5" customHeight="1" x14ac:dyDescent="0.35">
      <c r="A11" s="106" t="s">
        <v>27</v>
      </c>
      <c r="B11" s="347" t="s">
        <v>64</v>
      </c>
      <c r="C11" s="348"/>
      <c r="D11" s="107" t="s">
        <v>65</v>
      </c>
      <c r="E11" s="100" t="s">
        <v>339</v>
      </c>
      <c r="F11" s="100" t="s">
        <v>338</v>
      </c>
      <c r="J11" s="67"/>
      <c r="K11" s="67"/>
      <c r="L11" s="67"/>
      <c r="M11" s="67"/>
      <c r="N11" s="67"/>
      <c r="O11" s="67"/>
      <c r="P11" s="67"/>
      <c r="Q11" s="67"/>
      <c r="R11" s="67"/>
      <c r="S11" s="67"/>
    </row>
    <row r="12" spans="1:19" s="95" customFormat="1" ht="45" customHeight="1" x14ac:dyDescent="0.35">
      <c r="A12" s="349" t="s">
        <v>234</v>
      </c>
      <c r="B12" s="101" t="s">
        <v>235</v>
      </c>
      <c r="C12" s="351" t="s">
        <v>97</v>
      </c>
      <c r="D12" s="353" t="s">
        <v>236</v>
      </c>
      <c r="E12" s="354">
        <v>0.9</v>
      </c>
      <c r="F12" s="356">
        <v>0.9</v>
      </c>
      <c r="J12" s="67"/>
      <c r="K12" s="67"/>
      <c r="L12" s="67"/>
      <c r="M12" s="67"/>
      <c r="N12" s="67"/>
      <c r="O12" s="67"/>
      <c r="P12" s="67"/>
      <c r="Q12" s="67"/>
      <c r="R12" s="67"/>
      <c r="S12" s="67"/>
    </row>
    <row r="13" spans="1:19" s="95" customFormat="1" ht="45" customHeight="1" x14ac:dyDescent="0.35">
      <c r="A13" s="350"/>
      <c r="B13" s="102" t="s">
        <v>237</v>
      </c>
      <c r="C13" s="352"/>
      <c r="D13" s="353"/>
      <c r="E13" s="355"/>
      <c r="F13" s="356"/>
      <c r="J13" s="67"/>
      <c r="K13" s="67"/>
      <c r="L13" s="67"/>
      <c r="M13" s="67"/>
      <c r="N13" s="67"/>
      <c r="O13" s="67"/>
      <c r="P13" s="67"/>
      <c r="Q13" s="67"/>
      <c r="R13" s="67"/>
      <c r="S13" s="67"/>
    </row>
    <row r="14" spans="1:19" s="95" customFormat="1" ht="45" hidden="1" customHeight="1" x14ac:dyDescent="0.35">
      <c r="A14" s="349" t="s">
        <v>238</v>
      </c>
      <c r="B14" s="101" t="s">
        <v>239</v>
      </c>
      <c r="C14" s="351" t="s">
        <v>97</v>
      </c>
      <c r="D14" s="353" t="s">
        <v>236</v>
      </c>
      <c r="E14" s="354"/>
      <c r="F14" s="356"/>
      <c r="J14" s="67"/>
      <c r="K14" s="67"/>
      <c r="L14" s="67"/>
      <c r="M14" s="67"/>
      <c r="N14" s="67"/>
      <c r="O14" s="67"/>
      <c r="P14" s="67"/>
      <c r="Q14" s="67"/>
      <c r="R14" s="67"/>
      <c r="S14" s="67"/>
    </row>
    <row r="15" spans="1:19" s="95" customFormat="1" ht="45" hidden="1" customHeight="1" x14ac:dyDescent="0.35">
      <c r="A15" s="350"/>
      <c r="B15" s="102" t="s">
        <v>240</v>
      </c>
      <c r="C15" s="352"/>
      <c r="D15" s="353"/>
      <c r="E15" s="355"/>
      <c r="F15" s="356"/>
      <c r="J15" s="67"/>
      <c r="K15" s="67"/>
      <c r="L15" s="67"/>
      <c r="M15" s="67"/>
      <c r="N15" s="67"/>
      <c r="O15" s="67"/>
      <c r="P15" s="67"/>
      <c r="Q15" s="67"/>
      <c r="R15" s="67"/>
      <c r="S15" s="67"/>
    </row>
    <row r="16" spans="1:19" s="95" customFormat="1" ht="45" customHeight="1" x14ac:dyDescent="0.35">
      <c r="A16" s="349" t="s">
        <v>241</v>
      </c>
      <c r="B16" s="368" t="s">
        <v>242</v>
      </c>
      <c r="C16" s="369"/>
      <c r="D16" s="353" t="s">
        <v>236</v>
      </c>
      <c r="E16" s="370">
        <f>3/12</f>
        <v>0.25</v>
      </c>
      <c r="F16" s="372">
        <f>(4186/1396)/12</f>
        <v>0.24988061127029607</v>
      </c>
      <c r="J16" s="67"/>
      <c r="K16" s="67"/>
      <c r="L16" s="67"/>
      <c r="M16" s="67"/>
      <c r="N16" s="67"/>
      <c r="O16" s="67"/>
      <c r="P16" s="67"/>
      <c r="Q16" s="67"/>
      <c r="R16" s="67"/>
      <c r="S16" s="67"/>
    </row>
    <row r="17" spans="1:19" s="95" customFormat="1" ht="45" customHeight="1" x14ac:dyDescent="0.35">
      <c r="A17" s="350"/>
      <c r="B17" s="366" t="s">
        <v>243</v>
      </c>
      <c r="C17" s="367"/>
      <c r="D17" s="353"/>
      <c r="E17" s="371"/>
      <c r="F17" s="372"/>
      <c r="J17" s="67"/>
      <c r="K17" s="67"/>
      <c r="L17" s="67"/>
      <c r="M17" s="67"/>
      <c r="N17" s="67"/>
      <c r="O17" s="67"/>
      <c r="P17" s="67"/>
      <c r="Q17" s="67"/>
      <c r="R17" s="67"/>
      <c r="S17" s="67"/>
    </row>
    <row r="18" spans="1:19" s="95" customFormat="1" ht="45" customHeight="1" x14ac:dyDescent="0.35">
      <c r="A18" s="349" t="s">
        <v>244</v>
      </c>
      <c r="B18" s="101" t="s">
        <v>245</v>
      </c>
      <c r="C18" s="351" t="s">
        <v>97</v>
      </c>
      <c r="D18" s="353" t="s">
        <v>236</v>
      </c>
      <c r="E18" s="354">
        <v>1</v>
      </c>
      <c r="F18" s="356">
        <v>1</v>
      </c>
      <c r="J18" s="67"/>
      <c r="K18" s="67"/>
      <c r="L18" s="67"/>
      <c r="M18" s="67"/>
      <c r="N18" s="67"/>
      <c r="O18" s="67"/>
      <c r="P18" s="67"/>
      <c r="Q18" s="67"/>
      <c r="R18" s="67"/>
      <c r="S18" s="67"/>
    </row>
    <row r="19" spans="1:19" s="95" customFormat="1" ht="45" customHeight="1" x14ac:dyDescent="0.35">
      <c r="A19" s="350"/>
      <c r="B19" s="102" t="s">
        <v>246</v>
      </c>
      <c r="C19" s="352"/>
      <c r="D19" s="353"/>
      <c r="E19" s="355"/>
      <c r="F19" s="356"/>
      <c r="J19" s="67"/>
      <c r="K19" s="67"/>
      <c r="L19" s="67"/>
      <c r="M19" s="67"/>
      <c r="N19" s="67"/>
      <c r="O19" s="67"/>
      <c r="P19" s="67"/>
      <c r="Q19" s="67"/>
      <c r="R19" s="67"/>
      <c r="S19" s="67"/>
    </row>
    <row r="20" spans="1:19" s="95" customFormat="1" ht="45" hidden="1" customHeight="1" x14ac:dyDescent="0.35">
      <c r="A20" s="349" t="s">
        <v>247</v>
      </c>
      <c r="B20" s="101" t="s">
        <v>248</v>
      </c>
      <c r="C20" s="351" t="s">
        <v>97</v>
      </c>
      <c r="D20" s="353" t="s">
        <v>99</v>
      </c>
      <c r="E20" s="354"/>
      <c r="F20" s="356"/>
      <c r="J20" s="67"/>
      <c r="K20" s="67"/>
      <c r="L20" s="67"/>
      <c r="M20" s="67"/>
      <c r="N20" s="67"/>
      <c r="O20" s="67"/>
      <c r="P20" s="67"/>
      <c r="Q20" s="67"/>
      <c r="R20" s="67"/>
      <c r="S20" s="67"/>
    </row>
    <row r="21" spans="1:19" s="95" customFormat="1" ht="45" hidden="1" customHeight="1" x14ac:dyDescent="0.35">
      <c r="A21" s="350"/>
      <c r="B21" s="102" t="s">
        <v>249</v>
      </c>
      <c r="C21" s="352"/>
      <c r="D21" s="353"/>
      <c r="E21" s="355"/>
      <c r="F21" s="356"/>
      <c r="J21" s="67"/>
      <c r="K21" s="67"/>
      <c r="L21" s="67"/>
      <c r="M21" s="67"/>
      <c r="N21" s="67"/>
      <c r="O21" s="67"/>
      <c r="P21" s="67"/>
      <c r="Q21" s="67"/>
      <c r="R21" s="67"/>
      <c r="S21" s="67"/>
    </row>
    <row r="22" spans="1:19" s="95" customFormat="1" ht="45" hidden="1" customHeight="1" x14ac:dyDescent="0.35">
      <c r="A22" s="349" t="s">
        <v>250</v>
      </c>
      <c r="B22" s="101" t="s">
        <v>251</v>
      </c>
      <c r="C22" s="351" t="s">
        <v>97</v>
      </c>
      <c r="D22" s="353" t="s">
        <v>99</v>
      </c>
      <c r="E22" s="354"/>
      <c r="F22" s="356"/>
      <c r="J22" s="67"/>
      <c r="K22" s="67"/>
      <c r="L22" s="67"/>
      <c r="M22" s="67"/>
      <c r="N22" s="67"/>
      <c r="O22" s="67"/>
      <c r="P22" s="67"/>
      <c r="Q22" s="67"/>
      <c r="R22" s="67"/>
      <c r="S22" s="67"/>
    </row>
    <row r="23" spans="1:19" s="95" customFormat="1" ht="45" hidden="1" customHeight="1" x14ac:dyDescent="0.35">
      <c r="A23" s="350"/>
      <c r="B23" s="102" t="s">
        <v>252</v>
      </c>
      <c r="C23" s="352"/>
      <c r="D23" s="353"/>
      <c r="E23" s="355"/>
      <c r="F23" s="356"/>
      <c r="J23" s="67"/>
      <c r="K23" s="67"/>
      <c r="L23" s="67"/>
      <c r="M23" s="67"/>
      <c r="N23" s="67"/>
      <c r="O23" s="67"/>
      <c r="P23" s="67"/>
      <c r="Q23" s="67"/>
      <c r="R23" s="67"/>
      <c r="S23" s="67"/>
    </row>
    <row r="24" spans="1:19" s="95" customFormat="1" ht="45" hidden="1" customHeight="1" x14ac:dyDescent="0.35">
      <c r="A24" s="349" t="s">
        <v>253</v>
      </c>
      <c r="B24" s="101" t="s">
        <v>254</v>
      </c>
      <c r="C24" s="351" t="s">
        <v>97</v>
      </c>
      <c r="D24" s="353" t="s">
        <v>98</v>
      </c>
      <c r="E24" s="354"/>
      <c r="F24" s="356"/>
      <c r="J24" s="67"/>
      <c r="K24" s="67"/>
      <c r="L24" s="67"/>
      <c r="M24" s="67"/>
      <c r="N24" s="67"/>
      <c r="O24" s="67"/>
      <c r="P24" s="67"/>
      <c r="Q24" s="67"/>
      <c r="R24" s="67"/>
      <c r="S24" s="67"/>
    </row>
    <row r="25" spans="1:19" s="95" customFormat="1" ht="45" hidden="1" customHeight="1" x14ac:dyDescent="0.35">
      <c r="A25" s="350"/>
      <c r="B25" s="102" t="s">
        <v>255</v>
      </c>
      <c r="C25" s="352"/>
      <c r="D25" s="353"/>
      <c r="E25" s="355"/>
      <c r="F25" s="356"/>
      <c r="J25" s="67"/>
      <c r="K25" s="67"/>
      <c r="L25" s="67"/>
      <c r="M25" s="67"/>
      <c r="N25" s="67"/>
      <c r="O25" s="67"/>
      <c r="P25" s="67"/>
      <c r="Q25" s="67"/>
      <c r="R25" s="67"/>
      <c r="S25" s="67"/>
    </row>
    <row r="26" spans="1:19" s="95" customFormat="1" ht="45" hidden="1" customHeight="1" x14ac:dyDescent="0.35">
      <c r="A26" s="349" t="s">
        <v>256</v>
      </c>
      <c r="B26" s="101" t="s">
        <v>257</v>
      </c>
      <c r="C26" s="351" t="s">
        <v>97</v>
      </c>
      <c r="D26" s="353" t="s">
        <v>98</v>
      </c>
      <c r="E26" s="354"/>
      <c r="F26" s="356"/>
      <c r="J26" s="67"/>
      <c r="K26" s="67"/>
      <c r="L26" s="67"/>
      <c r="M26" s="67"/>
      <c r="N26" s="67"/>
      <c r="O26" s="67"/>
      <c r="P26" s="67"/>
      <c r="Q26" s="67"/>
      <c r="R26" s="67"/>
      <c r="S26" s="67"/>
    </row>
    <row r="27" spans="1:19" s="95" customFormat="1" ht="45" hidden="1" customHeight="1" x14ac:dyDescent="0.35">
      <c r="A27" s="350"/>
      <c r="B27" s="102" t="s">
        <v>239</v>
      </c>
      <c r="C27" s="352"/>
      <c r="D27" s="353"/>
      <c r="E27" s="355"/>
      <c r="F27" s="356"/>
      <c r="J27" s="67"/>
      <c r="K27" s="67"/>
      <c r="L27" s="67"/>
      <c r="M27" s="67"/>
      <c r="N27" s="67"/>
      <c r="O27" s="67"/>
      <c r="P27" s="67"/>
      <c r="Q27" s="67"/>
      <c r="R27" s="67"/>
      <c r="S27" s="67"/>
    </row>
    <row r="28" spans="1:19" s="95" customFormat="1" ht="45" hidden="1" customHeight="1" x14ac:dyDescent="0.35">
      <c r="A28" s="349" t="s">
        <v>258</v>
      </c>
      <c r="B28" s="101" t="s">
        <v>259</v>
      </c>
      <c r="C28" s="351" t="s">
        <v>97</v>
      </c>
      <c r="D28" s="353" t="s">
        <v>98</v>
      </c>
      <c r="E28" s="354"/>
      <c r="F28" s="356"/>
      <c r="J28" s="67"/>
      <c r="K28" s="67"/>
      <c r="L28" s="67"/>
      <c r="M28" s="67"/>
      <c r="N28" s="67"/>
      <c r="O28" s="67"/>
      <c r="P28" s="67"/>
      <c r="Q28" s="67"/>
      <c r="R28" s="67"/>
      <c r="S28" s="67"/>
    </row>
    <row r="29" spans="1:19" s="95" customFormat="1" ht="45" hidden="1" customHeight="1" x14ac:dyDescent="0.35">
      <c r="A29" s="350"/>
      <c r="B29" s="102" t="s">
        <v>240</v>
      </c>
      <c r="C29" s="352"/>
      <c r="D29" s="353"/>
      <c r="E29" s="355"/>
      <c r="F29" s="356"/>
      <c r="J29" s="67"/>
      <c r="K29" s="67"/>
      <c r="L29" s="67"/>
      <c r="M29" s="67"/>
      <c r="N29" s="67"/>
      <c r="O29" s="67"/>
      <c r="P29" s="67"/>
      <c r="Q29" s="67"/>
      <c r="R29" s="67"/>
      <c r="S29" s="67"/>
    </row>
    <row r="30" spans="1:19" s="95" customFormat="1" ht="45" hidden="1" customHeight="1" x14ac:dyDescent="0.35">
      <c r="A30" s="349" t="s">
        <v>260</v>
      </c>
      <c r="B30" s="101" t="s">
        <v>261</v>
      </c>
      <c r="C30" s="351" t="s">
        <v>97</v>
      </c>
      <c r="D30" s="353" t="s">
        <v>98</v>
      </c>
      <c r="E30" s="354"/>
      <c r="F30" s="356"/>
      <c r="J30" s="67"/>
      <c r="K30" s="67"/>
      <c r="L30" s="67"/>
      <c r="M30" s="67"/>
      <c r="N30" s="67"/>
      <c r="O30" s="67"/>
      <c r="P30" s="67"/>
      <c r="Q30" s="67"/>
      <c r="R30" s="67"/>
      <c r="S30" s="67"/>
    </row>
    <row r="31" spans="1:19" s="95" customFormat="1" ht="45" hidden="1" customHeight="1" x14ac:dyDescent="0.35">
      <c r="A31" s="350"/>
      <c r="B31" s="102" t="s">
        <v>262</v>
      </c>
      <c r="C31" s="352"/>
      <c r="D31" s="353"/>
      <c r="E31" s="355"/>
      <c r="F31" s="356"/>
      <c r="J31" s="67"/>
      <c r="K31" s="67"/>
      <c r="L31" s="67"/>
      <c r="M31" s="67"/>
      <c r="N31" s="67"/>
      <c r="O31" s="67"/>
      <c r="P31" s="67"/>
      <c r="Q31" s="67"/>
      <c r="R31" s="67"/>
      <c r="S31" s="67"/>
    </row>
    <row r="32" spans="1:19" s="95" customFormat="1" ht="79.5" hidden="1" customHeight="1" x14ac:dyDescent="0.35">
      <c r="A32" s="106" t="s">
        <v>28</v>
      </c>
      <c r="B32" s="347" t="s">
        <v>64</v>
      </c>
      <c r="C32" s="373"/>
      <c r="D32" s="107" t="s">
        <v>65</v>
      </c>
      <c r="E32" s="100" t="s">
        <v>339</v>
      </c>
      <c r="F32" s="100" t="s">
        <v>338</v>
      </c>
      <c r="J32" s="67"/>
      <c r="K32" s="67"/>
      <c r="L32" s="67"/>
      <c r="M32" s="67"/>
      <c r="N32" s="67"/>
      <c r="O32" s="67"/>
      <c r="P32" s="67"/>
      <c r="Q32" s="67"/>
      <c r="R32" s="67"/>
      <c r="S32" s="67"/>
    </row>
    <row r="33" spans="1:19" s="95" customFormat="1" ht="45" hidden="1" customHeight="1" x14ac:dyDescent="0.35">
      <c r="A33" s="349" t="s">
        <v>263</v>
      </c>
      <c r="B33" s="101" t="s">
        <v>264</v>
      </c>
      <c r="C33" s="351" t="s">
        <v>97</v>
      </c>
      <c r="D33" s="353" t="s">
        <v>92</v>
      </c>
      <c r="E33" s="354"/>
      <c r="F33" s="356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 s="95" customFormat="1" ht="45" hidden="1" customHeight="1" x14ac:dyDescent="0.35">
      <c r="A34" s="350"/>
      <c r="B34" s="102" t="s">
        <v>265</v>
      </c>
      <c r="C34" s="352"/>
      <c r="D34" s="353"/>
      <c r="E34" s="355"/>
      <c r="F34" s="356"/>
      <c r="J34" s="67"/>
      <c r="K34" s="67"/>
      <c r="L34" s="67"/>
      <c r="M34" s="67"/>
      <c r="N34" s="67"/>
      <c r="O34" s="67"/>
      <c r="P34" s="67"/>
      <c r="Q34" s="67"/>
      <c r="R34" s="67"/>
      <c r="S34" s="67"/>
    </row>
    <row r="35" spans="1:19" s="95" customFormat="1" ht="45" hidden="1" customHeight="1" x14ac:dyDescent="0.35">
      <c r="A35" s="379" t="s">
        <v>266</v>
      </c>
      <c r="B35" s="101" t="s">
        <v>100</v>
      </c>
      <c r="C35" s="376" t="s">
        <v>97</v>
      </c>
      <c r="D35" s="353" t="s">
        <v>92</v>
      </c>
      <c r="E35" s="354"/>
      <c r="F35" s="356"/>
      <c r="J35" s="67"/>
      <c r="K35" s="67"/>
      <c r="L35" s="67"/>
      <c r="M35" s="67"/>
      <c r="N35" s="67"/>
      <c r="O35" s="67"/>
      <c r="P35" s="67"/>
      <c r="Q35" s="67"/>
      <c r="R35" s="67"/>
      <c r="S35" s="67"/>
    </row>
    <row r="36" spans="1:19" s="95" customFormat="1" ht="45" hidden="1" customHeight="1" x14ac:dyDescent="0.35">
      <c r="A36" s="379"/>
      <c r="B36" s="102" t="s">
        <v>101</v>
      </c>
      <c r="C36" s="376"/>
      <c r="D36" s="353"/>
      <c r="E36" s="355"/>
      <c r="F36" s="356"/>
      <c r="J36" s="67"/>
      <c r="K36" s="67"/>
      <c r="L36" s="67"/>
      <c r="M36" s="67"/>
      <c r="N36" s="67"/>
      <c r="O36" s="67"/>
      <c r="P36" s="67"/>
      <c r="Q36" s="67"/>
      <c r="R36" s="67"/>
      <c r="S36" s="67"/>
    </row>
    <row r="37" spans="1:19" s="95" customFormat="1" ht="45" hidden="1" customHeight="1" x14ac:dyDescent="0.35">
      <c r="A37" s="379" t="s">
        <v>267</v>
      </c>
      <c r="B37" s="101" t="s">
        <v>268</v>
      </c>
      <c r="C37" s="376" t="s">
        <v>97</v>
      </c>
      <c r="D37" s="353" t="s">
        <v>92</v>
      </c>
      <c r="E37" s="354"/>
      <c r="F37" s="356"/>
      <c r="J37" s="67"/>
      <c r="K37" s="67"/>
      <c r="L37" s="67"/>
      <c r="M37" s="67"/>
      <c r="N37" s="67"/>
      <c r="O37" s="67"/>
      <c r="P37" s="67"/>
      <c r="Q37" s="67"/>
      <c r="R37" s="67"/>
      <c r="S37" s="67"/>
    </row>
    <row r="38" spans="1:19" s="95" customFormat="1" ht="45" hidden="1" customHeight="1" x14ac:dyDescent="0.35">
      <c r="A38" s="379"/>
      <c r="B38" s="102" t="s">
        <v>269</v>
      </c>
      <c r="C38" s="376"/>
      <c r="D38" s="353"/>
      <c r="E38" s="355"/>
      <c r="F38" s="356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19" s="95" customFormat="1" ht="79.5" customHeight="1" x14ac:dyDescent="0.35">
      <c r="A39" s="106" t="s">
        <v>29</v>
      </c>
      <c r="B39" s="347" t="s">
        <v>64</v>
      </c>
      <c r="C39" s="373"/>
      <c r="D39" s="107" t="s">
        <v>65</v>
      </c>
      <c r="E39" s="100" t="s">
        <v>339</v>
      </c>
      <c r="F39" s="100" t="s">
        <v>338</v>
      </c>
      <c r="J39" s="67"/>
      <c r="K39" s="67"/>
      <c r="L39" s="67"/>
      <c r="M39" s="67"/>
      <c r="N39" s="67"/>
      <c r="O39" s="67"/>
      <c r="P39" s="67"/>
      <c r="Q39" s="67"/>
      <c r="R39" s="67"/>
      <c r="S39" s="67"/>
    </row>
    <row r="40" spans="1:19" s="95" customFormat="1" ht="45" customHeight="1" x14ac:dyDescent="0.35">
      <c r="A40" s="374" t="s">
        <v>270</v>
      </c>
      <c r="B40" s="108" t="s">
        <v>271</v>
      </c>
      <c r="C40" s="376" t="s">
        <v>97</v>
      </c>
      <c r="D40" s="377" t="s">
        <v>272</v>
      </c>
      <c r="E40" s="354">
        <v>1</v>
      </c>
      <c r="F40" s="356">
        <v>1</v>
      </c>
      <c r="J40" s="67"/>
      <c r="K40" s="67"/>
      <c r="L40" s="67"/>
      <c r="M40" s="67"/>
      <c r="N40" s="67"/>
      <c r="O40" s="67"/>
      <c r="P40" s="67"/>
      <c r="Q40" s="67"/>
      <c r="R40" s="67"/>
      <c r="S40" s="67"/>
    </row>
    <row r="41" spans="1:19" s="95" customFormat="1" ht="45" customHeight="1" x14ac:dyDescent="0.35">
      <c r="A41" s="375"/>
      <c r="B41" s="109" t="s">
        <v>273</v>
      </c>
      <c r="C41" s="376"/>
      <c r="D41" s="378"/>
      <c r="E41" s="355"/>
      <c r="F41" s="356"/>
      <c r="J41" s="67"/>
      <c r="K41" s="67"/>
      <c r="L41" s="67"/>
      <c r="M41" s="67"/>
      <c r="N41" s="67"/>
      <c r="O41" s="67"/>
      <c r="P41" s="67"/>
      <c r="Q41" s="67"/>
      <c r="R41" s="67"/>
      <c r="S41" s="67"/>
    </row>
    <row r="42" spans="1:19" s="95" customFormat="1" ht="45" hidden="1" customHeight="1" x14ac:dyDescent="0.35">
      <c r="A42" s="382" t="s">
        <v>274</v>
      </c>
      <c r="B42" s="110" t="s">
        <v>275</v>
      </c>
      <c r="C42" s="376" t="s">
        <v>97</v>
      </c>
      <c r="D42" s="385" t="s">
        <v>99</v>
      </c>
      <c r="E42" s="354"/>
      <c r="F42" s="356"/>
      <c r="J42" s="67"/>
      <c r="K42" s="67"/>
      <c r="L42" s="67"/>
      <c r="M42" s="67"/>
      <c r="N42" s="67"/>
      <c r="O42" s="67"/>
      <c r="P42" s="67"/>
      <c r="Q42" s="67"/>
      <c r="R42" s="67"/>
      <c r="S42" s="67"/>
    </row>
    <row r="43" spans="1:19" s="95" customFormat="1" ht="45" hidden="1" customHeight="1" x14ac:dyDescent="0.35">
      <c r="A43" s="382"/>
      <c r="B43" s="111" t="s">
        <v>276</v>
      </c>
      <c r="C43" s="376"/>
      <c r="D43" s="378"/>
      <c r="E43" s="355"/>
      <c r="F43" s="356"/>
      <c r="J43" s="67"/>
      <c r="K43" s="67"/>
      <c r="L43" s="67"/>
      <c r="M43" s="67"/>
      <c r="N43" s="67"/>
      <c r="O43" s="67"/>
      <c r="P43" s="67"/>
      <c r="Q43" s="67"/>
      <c r="R43" s="67"/>
      <c r="S43" s="67"/>
    </row>
    <row r="44" spans="1:19" s="95" customFormat="1" ht="45" hidden="1" customHeight="1" x14ac:dyDescent="0.35">
      <c r="A44" s="382" t="s">
        <v>277</v>
      </c>
      <c r="B44" s="386" t="s">
        <v>278</v>
      </c>
      <c r="C44" s="387"/>
      <c r="D44" s="385" t="s">
        <v>99</v>
      </c>
      <c r="E44" s="354"/>
      <c r="F44" s="356"/>
      <c r="J44" s="67"/>
      <c r="K44" s="67"/>
      <c r="L44" s="67"/>
      <c r="M44" s="67"/>
      <c r="N44" s="67"/>
      <c r="O44" s="67"/>
      <c r="P44" s="67"/>
      <c r="Q44" s="67"/>
      <c r="R44" s="67"/>
      <c r="S44" s="67"/>
    </row>
    <row r="45" spans="1:19" s="95" customFormat="1" ht="45" hidden="1" customHeight="1" x14ac:dyDescent="0.35">
      <c r="A45" s="382"/>
      <c r="B45" s="380" t="s">
        <v>279</v>
      </c>
      <c r="C45" s="381"/>
      <c r="D45" s="378"/>
      <c r="E45" s="355"/>
      <c r="F45" s="356"/>
      <c r="J45" s="67"/>
      <c r="K45" s="67"/>
      <c r="L45" s="67"/>
      <c r="M45" s="67"/>
      <c r="N45" s="67"/>
      <c r="O45" s="67"/>
      <c r="P45" s="67"/>
      <c r="Q45" s="67"/>
      <c r="R45" s="67"/>
      <c r="S45" s="67"/>
    </row>
    <row r="46" spans="1:19" s="95" customFormat="1" ht="45" hidden="1" customHeight="1" x14ac:dyDescent="0.35">
      <c r="A46" s="382" t="s">
        <v>280</v>
      </c>
      <c r="B46" s="110" t="s">
        <v>281</v>
      </c>
      <c r="C46" s="383" t="s">
        <v>97</v>
      </c>
      <c r="D46" s="385" t="s">
        <v>99</v>
      </c>
      <c r="E46" s="354"/>
      <c r="F46" s="356"/>
      <c r="J46" s="67"/>
      <c r="K46" s="67"/>
      <c r="L46" s="67"/>
      <c r="M46" s="67"/>
      <c r="N46" s="67"/>
      <c r="O46" s="67"/>
      <c r="P46" s="67"/>
      <c r="Q46" s="67"/>
      <c r="R46" s="67"/>
      <c r="S46" s="67"/>
    </row>
    <row r="47" spans="1:19" ht="45" hidden="1" customHeight="1" x14ac:dyDescent="0.35">
      <c r="A47" s="382"/>
      <c r="B47" s="111" t="s">
        <v>282</v>
      </c>
      <c r="C47" s="384"/>
      <c r="D47" s="378"/>
      <c r="E47" s="355"/>
      <c r="F47" s="356"/>
      <c r="H47" s="112"/>
      <c r="I47" s="113"/>
    </row>
    <row r="48" spans="1:19" s="95" customFormat="1" ht="79.5" hidden="1" customHeight="1" x14ac:dyDescent="0.35">
      <c r="A48" s="106" t="s">
        <v>30</v>
      </c>
      <c r="B48" s="347" t="s">
        <v>64</v>
      </c>
      <c r="C48" s="373"/>
      <c r="D48" s="107" t="s">
        <v>65</v>
      </c>
      <c r="E48" s="100" t="s">
        <v>339</v>
      </c>
      <c r="F48" s="100" t="s">
        <v>338</v>
      </c>
      <c r="J48" s="67"/>
      <c r="K48" s="67"/>
      <c r="L48" s="67"/>
      <c r="M48" s="67"/>
      <c r="N48" s="67"/>
      <c r="O48" s="67"/>
      <c r="P48" s="67"/>
      <c r="Q48" s="67"/>
      <c r="R48" s="67"/>
      <c r="S48" s="67"/>
    </row>
    <row r="49" spans="1:19" ht="90" hidden="1" customHeight="1" x14ac:dyDescent="0.35">
      <c r="A49" s="114" t="s">
        <v>283</v>
      </c>
      <c r="B49" s="392" t="s">
        <v>284</v>
      </c>
      <c r="C49" s="393"/>
      <c r="D49" s="115" t="s">
        <v>91</v>
      </c>
      <c r="E49" s="116"/>
      <c r="F49" s="117"/>
    </row>
    <row r="50" spans="1:19" s="95" customFormat="1" ht="79.5" customHeight="1" x14ac:dyDescent="0.35">
      <c r="A50" s="106" t="s">
        <v>31</v>
      </c>
      <c r="B50" s="347" t="s">
        <v>64</v>
      </c>
      <c r="C50" s="373"/>
      <c r="D50" s="107" t="s">
        <v>65</v>
      </c>
      <c r="E50" s="100" t="s">
        <v>339</v>
      </c>
      <c r="F50" s="100" t="s">
        <v>338</v>
      </c>
      <c r="J50" s="67"/>
      <c r="K50" s="67"/>
      <c r="L50" s="67"/>
      <c r="M50" s="67"/>
      <c r="N50" s="67"/>
      <c r="O50" s="67"/>
      <c r="P50" s="67"/>
      <c r="Q50" s="67"/>
      <c r="R50" s="67"/>
      <c r="S50" s="67"/>
    </row>
    <row r="51" spans="1:19" ht="45" customHeight="1" x14ac:dyDescent="0.35">
      <c r="A51" s="382" t="s">
        <v>285</v>
      </c>
      <c r="B51" s="110" t="s">
        <v>286</v>
      </c>
      <c r="C51" s="388" t="s">
        <v>97</v>
      </c>
      <c r="D51" s="390" t="s">
        <v>91</v>
      </c>
      <c r="E51" s="370">
        <v>0.4</v>
      </c>
      <c r="F51" s="372">
        <v>0.4</v>
      </c>
    </row>
    <row r="52" spans="1:19" ht="45" customHeight="1" x14ac:dyDescent="0.35">
      <c r="A52" s="382"/>
      <c r="B52" s="111" t="s">
        <v>233</v>
      </c>
      <c r="C52" s="389"/>
      <c r="D52" s="391"/>
      <c r="E52" s="371"/>
      <c r="F52" s="372"/>
    </row>
    <row r="53" spans="1:19" ht="45" hidden="1" customHeight="1" x14ac:dyDescent="0.35">
      <c r="A53" s="382" t="s">
        <v>287</v>
      </c>
      <c r="B53" s="110" t="s">
        <v>284</v>
      </c>
      <c r="C53" s="388" t="s">
        <v>97</v>
      </c>
      <c r="D53" s="390" t="s">
        <v>91</v>
      </c>
      <c r="E53" s="354"/>
      <c r="F53" s="356"/>
    </row>
    <row r="54" spans="1:19" ht="45" hidden="1" customHeight="1" x14ac:dyDescent="0.35">
      <c r="A54" s="382"/>
      <c r="B54" s="111" t="s">
        <v>233</v>
      </c>
      <c r="C54" s="389"/>
      <c r="D54" s="391"/>
      <c r="E54" s="355"/>
      <c r="F54" s="356"/>
    </row>
    <row r="55" spans="1:19" s="95" customFormat="1" ht="79.5" customHeight="1" x14ac:dyDescent="0.35">
      <c r="A55" s="106" t="s">
        <v>32</v>
      </c>
      <c r="B55" s="347" t="s">
        <v>64</v>
      </c>
      <c r="C55" s="373"/>
      <c r="D55" s="107" t="s">
        <v>65</v>
      </c>
      <c r="E55" s="100" t="s">
        <v>339</v>
      </c>
      <c r="F55" s="100" t="s">
        <v>338</v>
      </c>
      <c r="J55" s="67"/>
      <c r="K55" s="67"/>
      <c r="L55" s="67"/>
      <c r="M55" s="67"/>
      <c r="N55" s="67"/>
      <c r="O55" s="67"/>
      <c r="P55" s="67"/>
      <c r="Q55" s="67"/>
      <c r="R55" s="67"/>
      <c r="S55" s="67"/>
    </row>
    <row r="56" spans="1:19" s="95" customFormat="1" ht="90" customHeight="1" x14ac:dyDescent="0.35">
      <c r="A56" s="118" t="s">
        <v>288</v>
      </c>
      <c r="B56" s="398" t="s">
        <v>289</v>
      </c>
      <c r="C56" s="399"/>
      <c r="D56" s="119" t="s">
        <v>236</v>
      </c>
      <c r="E56" s="120">
        <v>50000</v>
      </c>
      <c r="F56" s="120">
        <v>50000</v>
      </c>
      <c r="J56" s="67"/>
      <c r="K56" s="67"/>
      <c r="L56" s="67"/>
      <c r="M56" s="67"/>
      <c r="N56" s="67"/>
      <c r="O56" s="67"/>
      <c r="P56" s="67"/>
      <c r="Q56" s="67"/>
      <c r="R56" s="67"/>
      <c r="S56" s="67"/>
    </row>
    <row r="57" spans="1:19" s="95" customFormat="1" ht="45" customHeight="1" x14ac:dyDescent="0.35">
      <c r="A57" s="374" t="s">
        <v>290</v>
      </c>
      <c r="B57" s="110" t="s">
        <v>291</v>
      </c>
      <c r="C57" s="388" t="s">
        <v>97</v>
      </c>
      <c r="D57" s="396" t="s">
        <v>92</v>
      </c>
      <c r="E57" s="394">
        <v>250000</v>
      </c>
      <c r="F57" s="394">
        <v>250000</v>
      </c>
      <c r="J57" s="67"/>
      <c r="K57" s="67"/>
      <c r="L57" s="67"/>
      <c r="M57" s="67"/>
      <c r="N57" s="67"/>
      <c r="O57" s="67"/>
      <c r="P57" s="67"/>
      <c r="Q57" s="67"/>
      <c r="R57" s="67"/>
      <c r="S57" s="67"/>
    </row>
    <row r="58" spans="1:19" s="95" customFormat="1" ht="45" customHeight="1" x14ac:dyDescent="0.35">
      <c r="A58" s="375"/>
      <c r="B58" s="111" t="s">
        <v>102</v>
      </c>
      <c r="C58" s="389"/>
      <c r="D58" s="397"/>
      <c r="E58" s="395"/>
      <c r="F58" s="395"/>
      <c r="J58" s="67"/>
      <c r="K58" s="67"/>
      <c r="L58" s="67"/>
      <c r="M58" s="67"/>
      <c r="N58" s="67"/>
      <c r="O58" s="67"/>
      <c r="P58" s="67"/>
      <c r="Q58" s="67"/>
      <c r="R58" s="67"/>
      <c r="S58" s="67"/>
    </row>
    <row r="59" spans="1:19" s="95" customFormat="1" ht="45" hidden="1" customHeight="1" x14ac:dyDescent="0.35">
      <c r="A59" s="374" t="s">
        <v>292</v>
      </c>
      <c r="B59" s="110" t="s">
        <v>293</v>
      </c>
      <c r="C59" s="388" t="s">
        <v>97</v>
      </c>
      <c r="D59" s="396" t="s">
        <v>92</v>
      </c>
      <c r="E59" s="354"/>
      <c r="F59" s="356"/>
      <c r="J59" s="67"/>
      <c r="K59" s="67"/>
      <c r="L59" s="67"/>
      <c r="M59" s="67"/>
      <c r="N59" s="67"/>
      <c r="O59" s="67"/>
      <c r="P59" s="67"/>
      <c r="Q59" s="67"/>
      <c r="R59" s="67"/>
      <c r="S59" s="67"/>
    </row>
    <row r="60" spans="1:19" s="95" customFormat="1" ht="45" hidden="1" customHeight="1" x14ac:dyDescent="0.35">
      <c r="A60" s="375"/>
      <c r="B60" s="111" t="s">
        <v>103</v>
      </c>
      <c r="C60" s="389"/>
      <c r="D60" s="397"/>
      <c r="E60" s="355"/>
      <c r="F60" s="356"/>
      <c r="J60" s="67"/>
      <c r="K60" s="67"/>
      <c r="L60" s="67"/>
      <c r="M60" s="67"/>
      <c r="N60" s="67"/>
      <c r="O60" s="67"/>
      <c r="P60" s="67"/>
      <c r="Q60" s="67"/>
      <c r="R60" s="67"/>
      <c r="S60" s="67"/>
    </row>
    <row r="61" spans="1:19" s="95" customFormat="1" ht="90" hidden="1" customHeight="1" x14ac:dyDescent="0.35">
      <c r="A61" s="118" t="s">
        <v>294</v>
      </c>
      <c r="B61" s="398" t="s">
        <v>295</v>
      </c>
      <c r="C61" s="399"/>
      <c r="D61" s="119" t="s">
        <v>99</v>
      </c>
      <c r="E61" s="120"/>
      <c r="F61" s="121"/>
      <c r="J61" s="67"/>
      <c r="K61" s="67"/>
      <c r="L61" s="67"/>
      <c r="M61" s="67"/>
      <c r="N61" s="67"/>
      <c r="O61" s="67"/>
      <c r="P61" s="67"/>
      <c r="Q61" s="67"/>
      <c r="R61" s="67"/>
      <c r="S61" s="67"/>
    </row>
    <row r="62" spans="1:19" s="95" customFormat="1" ht="79.5" hidden="1" customHeight="1" x14ac:dyDescent="0.35">
      <c r="A62" s="106" t="s">
        <v>33</v>
      </c>
      <c r="B62" s="347" t="s">
        <v>64</v>
      </c>
      <c r="C62" s="373"/>
      <c r="D62" s="107" t="s">
        <v>65</v>
      </c>
      <c r="E62" s="100" t="s">
        <v>339</v>
      </c>
      <c r="F62" s="100" t="s">
        <v>338</v>
      </c>
      <c r="J62" s="67"/>
      <c r="K62" s="67"/>
      <c r="L62" s="67"/>
      <c r="M62" s="67"/>
      <c r="N62" s="67"/>
      <c r="O62" s="67"/>
      <c r="P62" s="67"/>
      <c r="Q62" s="67"/>
      <c r="R62" s="67"/>
      <c r="S62" s="67"/>
    </row>
    <row r="63" spans="1:19" s="95" customFormat="1" ht="45" hidden="1" customHeight="1" x14ac:dyDescent="0.35">
      <c r="A63" s="403" t="s">
        <v>296</v>
      </c>
      <c r="B63" s="122" t="s">
        <v>297</v>
      </c>
      <c r="C63" s="401" t="s">
        <v>97</v>
      </c>
      <c r="D63" s="402" t="s">
        <v>91</v>
      </c>
      <c r="E63" s="354"/>
      <c r="F63" s="356"/>
      <c r="J63" s="67"/>
      <c r="K63" s="67"/>
      <c r="L63" s="67"/>
      <c r="M63" s="67"/>
      <c r="N63" s="67"/>
      <c r="O63" s="67"/>
      <c r="P63" s="67"/>
      <c r="Q63" s="67"/>
      <c r="R63" s="67"/>
      <c r="S63" s="67"/>
    </row>
    <row r="64" spans="1:19" s="95" customFormat="1" ht="45" hidden="1" customHeight="1" x14ac:dyDescent="0.35">
      <c r="A64" s="403"/>
      <c r="B64" s="123" t="s">
        <v>298</v>
      </c>
      <c r="C64" s="401"/>
      <c r="D64" s="402"/>
      <c r="E64" s="355"/>
      <c r="F64" s="356"/>
      <c r="J64" s="67"/>
      <c r="K64" s="67"/>
      <c r="L64" s="67"/>
      <c r="M64" s="67"/>
      <c r="N64" s="67"/>
      <c r="O64" s="67"/>
      <c r="P64" s="67"/>
      <c r="Q64" s="67"/>
      <c r="R64" s="67"/>
      <c r="S64" s="67"/>
    </row>
    <row r="65" spans="1:19" s="95" customFormat="1" ht="45" hidden="1" customHeight="1" x14ac:dyDescent="0.35">
      <c r="A65" s="400" t="s">
        <v>299</v>
      </c>
      <c r="B65" s="124" t="s">
        <v>206</v>
      </c>
      <c r="C65" s="401" t="s">
        <v>97</v>
      </c>
      <c r="D65" s="402" t="s">
        <v>91</v>
      </c>
      <c r="E65" s="354"/>
      <c r="F65" s="356"/>
      <c r="J65" s="67"/>
      <c r="K65" s="67"/>
      <c r="L65" s="67"/>
      <c r="M65" s="67"/>
      <c r="N65" s="67"/>
      <c r="O65" s="67"/>
      <c r="P65" s="67"/>
      <c r="Q65" s="67"/>
      <c r="R65" s="67"/>
      <c r="S65" s="67"/>
    </row>
    <row r="66" spans="1:19" s="95" customFormat="1" ht="45" hidden="1" customHeight="1" x14ac:dyDescent="0.35">
      <c r="A66" s="400"/>
      <c r="B66" s="125" t="s">
        <v>300</v>
      </c>
      <c r="C66" s="401"/>
      <c r="D66" s="402"/>
      <c r="E66" s="355"/>
      <c r="F66" s="356"/>
      <c r="J66" s="67"/>
      <c r="K66" s="67"/>
      <c r="L66" s="67"/>
      <c r="M66" s="67"/>
      <c r="N66" s="67"/>
      <c r="O66" s="67"/>
      <c r="P66" s="67"/>
      <c r="Q66" s="67"/>
      <c r="R66" s="67"/>
      <c r="S66" s="67"/>
    </row>
    <row r="67" spans="1:19" s="95" customFormat="1" ht="45" hidden="1" customHeight="1" x14ac:dyDescent="0.35">
      <c r="A67" s="404" t="s">
        <v>301</v>
      </c>
      <c r="B67" s="405" t="s">
        <v>302</v>
      </c>
      <c r="C67" s="406"/>
      <c r="D67" s="402" t="s">
        <v>99</v>
      </c>
      <c r="E67" s="354"/>
      <c r="F67" s="356"/>
      <c r="J67" s="67"/>
      <c r="K67" s="67"/>
      <c r="L67" s="67"/>
      <c r="M67" s="67"/>
      <c r="N67" s="67"/>
      <c r="O67" s="67"/>
      <c r="P67" s="67"/>
      <c r="Q67" s="67"/>
      <c r="R67" s="67"/>
      <c r="S67" s="67"/>
    </row>
    <row r="68" spans="1:19" s="95" customFormat="1" ht="45" hidden="1" customHeight="1" x14ac:dyDescent="0.35">
      <c r="A68" s="404"/>
      <c r="B68" s="407" t="s">
        <v>303</v>
      </c>
      <c r="C68" s="408"/>
      <c r="D68" s="402"/>
      <c r="E68" s="355"/>
      <c r="F68" s="356"/>
      <c r="J68" s="67"/>
      <c r="K68" s="67"/>
      <c r="L68" s="67"/>
      <c r="M68" s="67"/>
      <c r="N68" s="67"/>
      <c r="O68" s="67"/>
      <c r="P68" s="67"/>
      <c r="Q68" s="67"/>
      <c r="R68" s="67"/>
      <c r="S68" s="67"/>
    </row>
    <row r="69" spans="1:19" s="95" customFormat="1" ht="79.5" customHeight="1" x14ac:dyDescent="0.35">
      <c r="A69" s="106" t="s">
        <v>34</v>
      </c>
      <c r="B69" s="347" t="s">
        <v>64</v>
      </c>
      <c r="C69" s="373"/>
      <c r="D69" s="107" t="s">
        <v>65</v>
      </c>
      <c r="E69" s="100" t="s">
        <v>339</v>
      </c>
      <c r="F69" s="100" t="s">
        <v>338</v>
      </c>
      <c r="G69" s="126" t="s">
        <v>304</v>
      </c>
      <c r="J69" s="67"/>
      <c r="K69" s="67"/>
      <c r="L69" s="67"/>
      <c r="M69" s="67"/>
      <c r="N69" s="67"/>
      <c r="O69" s="67"/>
      <c r="P69" s="67"/>
      <c r="Q69" s="67"/>
      <c r="R69" s="67"/>
      <c r="S69" s="67"/>
    </row>
    <row r="70" spans="1:19" s="95" customFormat="1" ht="45" customHeight="1" x14ac:dyDescent="0.35">
      <c r="A70" s="404" t="s">
        <v>305</v>
      </c>
      <c r="B70" s="405" t="s">
        <v>306</v>
      </c>
      <c r="C70" s="406"/>
      <c r="D70" s="402" t="s">
        <v>92</v>
      </c>
      <c r="E70" s="370">
        <v>1.31</v>
      </c>
      <c r="F70" s="372">
        <f>4578/3281.48</f>
        <v>1.3951022099784243</v>
      </c>
      <c r="J70" s="67"/>
      <c r="K70" s="67"/>
      <c r="L70" s="67"/>
      <c r="M70" s="67"/>
      <c r="N70" s="67"/>
      <c r="O70" s="67"/>
      <c r="P70" s="67"/>
      <c r="Q70" s="67"/>
      <c r="R70" s="67"/>
      <c r="S70" s="67"/>
    </row>
    <row r="71" spans="1:19" s="95" customFormat="1" ht="45" customHeight="1" x14ac:dyDescent="0.35">
      <c r="A71" s="404"/>
      <c r="B71" s="407" t="s">
        <v>307</v>
      </c>
      <c r="C71" s="408"/>
      <c r="D71" s="402"/>
      <c r="E71" s="371"/>
      <c r="F71" s="372"/>
      <c r="J71" s="67"/>
      <c r="K71" s="67"/>
      <c r="L71" s="67"/>
      <c r="M71" s="67"/>
      <c r="N71" s="67"/>
      <c r="O71" s="67"/>
      <c r="P71" s="67"/>
      <c r="Q71" s="67"/>
      <c r="R71" s="67"/>
      <c r="S71" s="67"/>
    </row>
    <row r="72" spans="1:19" s="95" customFormat="1" ht="45" hidden="1" customHeight="1" x14ac:dyDescent="0.35">
      <c r="A72" s="404" t="s">
        <v>308</v>
      </c>
      <c r="B72" s="110" t="s">
        <v>201</v>
      </c>
      <c r="C72" s="401" t="s">
        <v>97</v>
      </c>
      <c r="D72" s="402" t="s">
        <v>92</v>
      </c>
      <c r="E72" s="354"/>
      <c r="F72" s="356"/>
      <c r="J72" s="67"/>
      <c r="K72" s="67"/>
      <c r="L72" s="67"/>
      <c r="M72" s="67"/>
      <c r="N72" s="67"/>
      <c r="O72" s="67"/>
      <c r="P72" s="67"/>
      <c r="Q72" s="67"/>
      <c r="R72" s="67"/>
      <c r="S72" s="67"/>
    </row>
    <row r="73" spans="1:19" ht="45" hidden="1" customHeight="1" x14ac:dyDescent="0.35">
      <c r="A73" s="404"/>
      <c r="B73" s="111" t="s">
        <v>306</v>
      </c>
      <c r="C73" s="401"/>
      <c r="D73" s="402"/>
      <c r="E73" s="355"/>
      <c r="F73" s="356"/>
    </row>
    <row r="74" spans="1:19" s="95" customFormat="1" ht="45" hidden="1" customHeight="1" x14ac:dyDescent="0.35">
      <c r="A74" s="404" t="s">
        <v>309</v>
      </c>
      <c r="B74" s="110" t="s">
        <v>310</v>
      </c>
      <c r="C74" s="401" t="s">
        <v>97</v>
      </c>
      <c r="D74" s="402" t="s">
        <v>92</v>
      </c>
      <c r="E74" s="354"/>
      <c r="F74" s="356"/>
    </row>
    <row r="75" spans="1:19" s="95" customFormat="1" ht="45" hidden="1" customHeight="1" x14ac:dyDescent="0.35">
      <c r="A75" s="404"/>
      <c r="B75" s="111" t="s">
        <v>306</v>
      </c>
      <c r="C75" s="401"/>
      <c r="D75" s="402"/>
      <c r="E75" s="355"/>
      <c r="F75" s="356"/>
    </row>
    <row r="76" spans="1:19" s="95" customFormat="1" ht="79.5" customHeight="1" x14ac:dyDescent="0.35">
      <c r="A76" s="106" t="s">
        <v>35</v>
      </c>
      <c r="B76" s="347" t="s">
        <v>64</v>
      </c>
      <c r="C76" s="373"/>
      <c r="D76" s="107" t="s">
        <v>65</v>
      </c>
      <c r="E76" s="100" t="s">
        <v>339</v>
      </c>
      <c r="F76" s="100" t="s">
        <v>338</v>
      </c>
      <c r="J76" s="67"/>
      <c r="K76" s="67"/>
      <c r="L76" s="67"/>
      <c r="M76" s="67"/>
      <c r="N76" s="67"/>
      <c r="O76" s="67"/>
      <c r="P76" s="67"/>
      <c r="Q76" s="67"/>
      <c r="R76" s="67"/>
      <c r="S76" s="67"/>
    </row>
    <row r="77" spans="1:19" ht="45" customHeight="1" x14ac:dyDescent="0.35">
      <c r="A77" s="404" t="s">
        <v>311</v>
      </c>
      <c r="B77" s="409" t="s">
        <v>312</v>
      </c>
      <c r="C77" s="410"/>
      <c r="D77" s="402" t="s">
        <v>313</v>
      </c>
      <c r="E77" s="411">
        <v>1018.62</v>
      </c>
      <c r="F77" s="411">
        <f>1600540.58/1495</f>
        <v>1070.5957056856187</v>
      </c>
    </row>
    <row r="78" spans="1:19" ht="45" customHeight="1" x14ac:dyDescent="0.35">
      <c r="A78" s="404"/>
      <c r="B78" s="380" t="s">
        <v>105</v>
      </c>
      <c r="C78" s="381"/>
      <c r="D78" s="402"/>
      <c r="E78" s="412"/>
      <c r="F78" s="412"/>
    </row>
    <row r="79" spans="1:19" ht="45" customHeight="1" x14ac:dyDescent="0.35">
      <c r="A79" s="404" t="s">
        <v>314</v>
      </c>
      <c r="B79" s="110" t="s">
        <v>315</v>
      </c>
      <c r="C79" s="401" t="s">
        <v>97</v>
      </c>
      <c r="D79" s="402" t="s">
        <v>316</v>
      </c>
      <c r="E79" s="354">
        <v>0.60799999999999998</v>
      </c>
      <c r="F79" s="356">
        <f>900050/1600540.58</f>
        <v>0.56234125597740225</v>
      </c>
    </row>
    <row r="80" spans="1:19" ht="45" customHeight="1" x14ac:dyDescent="0.35">
      <c r="A80" s="404"/>
      <c r="B80" s="111" t="s">
        <v>312</v>
      </c>
      <c r="C80" s="401"/>
      <c r="D80" s="402"/>
      <c r="E80" s="355"/>
      <c r="F80" s="356"/>
    </row>
    <row r="81" spans="1:19" ht="45" customHeight="1" x14ac:dyDescent="0.35">
      <c r="A81" s="382" t="s">
        <v>317</v>
      </c>
      <c r="B81" s="409" t="s">
        <v>204</v>
      </c>
      <c r="C81" s="410"/>
      <c r="D81" s="402" t="s">
        <v>99</v>
      </c>
      <c r="E81" s="370">
        <v>4</v>
      </c>
      <c r="F81" s="370">
        <v>4</v>
      </c>
    </row>
    <row r="82" spans="1:19" ht="45" customHeight="1" x14ac:dyDescent="0.35">
      <c r="A82" s="382"/>
      <c r="B82" s="380" t="s">
        <v>104</v>
      </c>
      <c r="C82" s="381"/>
      <c r="D82" s="402"/>
      <c r="E82" s="371"/>
      <c r="F82" s="371"/>
    </row>
    <row r="83" spans="1:19" ht="45" customHeight="1" x14ac:dyDescent="0.35">
      <c r="A83" s="404" t="s">
        <v>318</v>
      </c>
      <c r="B83" s="110" t="s">
        <v>205</v>
      </c>
      <c r="C83" s="401" t="s">
        <v>97</v>
      </c>
      <c r="D83" s="402" t="s">
        <v>98</v>
      </c>
      <c r="E83" s="413">
        <v>0.29899999999999999</v>
      </c>
      <c r="F83" s="415">
        <v>0.25800000000000001</v>
      </c>
    </row>
    <row r="84" spans="1:19" s="95" customFormat="1" ht="45" customHeight="1" x14ac:dyDescent="0.35">
      <c r="A84" s="404"/>
      <c r="B84" s="111" t="s">
        <v>319</v>
      </c>
      <c r="C84" s="401"/>
      <c r="D84" s="402"/>
      <c r="E84" s="414"/>
      <c r="F84" s="415"/>
      <c r="J84" s="67"/>
      <c r="K84" s="67"/>
      <c r="L84" s="67"/>
      <c r="M84" s="67"/>
      <c r="N84" s="67"/>
      <c r="O84" s="67"/>
      <c r="P84" s="67"/>
      <c r="Q84" s="67"/>
      <c r="R84" s="67"/>
      <c r="S84" s="67"/>
    </row>
    <row r="85" spans="1:19" s="95" customFormat="1" ht="45" customHeight="1" x14ac:dyDescent="0.35">
      <c r="A85" s="404" t="s">
        <v>320</v>
      </c>
      <c r="B85" s="110" t="s">
        <v>106</v>
      </c>
      <c r="C85" s="401" t="s">
        <v>97</v>
      </c>
      <c r="D85" s="402" t="s">
        <v>98</v>
      </c>
      <c r="E85" s="413">
        <v>0.45800000000000002</v>
      </c>
      <c r="F85" s="415">
        <v>0.436</v>
      </c>
      <c r="J85" s="67"/>
      <c r="K85" s="67"/>
      <c r="L85" s="67"/>
      <c r="M85" s="67"/>
      <c r="N85" s="67"/>
      <c r="O85" s="67"/>
      <c r="P85" s="67"/>
      <c r="Q85" s="67"/>
      <c r="R85" s="67"/>
      <c r="S85" s="67"/>
    </row>
    <row r="86" spans="1:19" s="95" customFormat="1" ht="45" customHeight="1" x14ac:dyDescent="0.35">
      <c r="A86" s="404"/>
      <c r="B86" s="111" t="s">
        <v>321</v>
      </c>
      <c r="C86" s="401"/>
      <c r="D86" s="402"/>
      <c r="E86" s="414"/>
      <c r="F86" s="415"/>
      <c r="J86" s="67"/>
      <c r="K86" s="67"/>
      <c r="L86" s="67"/>
      <c r="M86" s="67"/>
      <c r="N86" s="67"/>
      <c r="O86" s="67"/>
      <c r="P86" s="67"/>
      <c r="Q86" s="67"/>
      <c r="R86" s="67"/>
      <c r="S86" s="67"/>
    </row>
    <row r="87" spans="1:19" s="95" customFormat="1" ht="79.5" hidden="1" customHeight="1" x14ac:dyDescent="0.35">
      <c r="A87" s="106" t="s">
        <v>36</v>
      </c>
      <c r="B87" s="347" t="s">
        <v>64</v>
      </c>
      <c r="C87" s="373"/>
      <c r="D87" s="107" t="s">
        <v>65</v>
      </c>
      <c r="E87" s="100" t="s">
        <v>339</v>
      </c>
      <c r="F87" s="100" t="s">
        <v>338</v>
      </c>
      <c r="J87" s="67"/>
      <c r="K87" s="67"/>
      <c r="L87" s="67"/>
      <c r="M87" s="67"/>
      <c r="N87" s="67"/>
      <c r="O87" s="67"/>
      <c r="P87" s="67"/>
      <c r="Q87" s="67"/>
      <c r="R87" s="67"/>
      <c r="S87" s="67"/>
    </row>
    <row r="88" spans="1:19" s="95" customFormat="1" ht="45" hidden="1" customHeight="1" x14ac:dyDescent="0.35">
      <c r="A88" s="382" t="s">
        <v>322</v>
      </c>
      <c r="B88" s="110" t="s">
        <v>323</v>
      </c>
      <c r="C88" s="417" t="s">
        <v>97</v>
      </c>
      <c r="D88" s="418" t="s">
        <v>316</v>
      </c>
      <c r="E88" s="354"/>
      <c r="F88" s="356"/>
      <c r="J88" s="67"/>
      <c r="K88" s="67"/>
      <c r="L88" s="67"/>
      <c r="M88" s="67"/>
      <c r="N88" s="67"/>
      <c r="O88" s="67"/>
      <c r="P88" s="67"/>
      <c r="Q88" s="67"/>
      <c r="R88" s="67"/>
      <c r="S88" s="67"/>
    </row>
    <row r="89" spans="1:19" s="95" customFormat="1" ht="45" hidden="1" customHeight="1" x14ac:dyDescent="0.35">
      <c r="A89" s="382"/>
      <c r="B89" s="111" t="s">
        <v>324</v>
      </c>
      <c r="C89" s="417"/>
      <c r="D89" s="418"/>
      <c r="E89" s="355"/>
      <c r="F89" s="356"/>
      <c r="J89" s="67"/>
      <c r="K89" s="67"/>
      <c r="L89" s="67"/>
      <c r="M89" s="67"/>
      <c r="N89" s="67"/>
      <c r="O89" s="67"/>
      <c r="P89" s="67"/>
      <c r="Q89" s="67"/>
      <c r="R89" s="67"/>
      <c r="S89" s="67"/>
    </row>
    <row r="90" spans="1:19" s="95" customFormat="1" ht="45" hidden="1" customHeight="1" x14ac:dyDescent="0.35">
      <c r="A90" s="382" t="s">
        <v>325</v>
      </c>
      <c r="B90" s="110" t="s">
        <v>326</v>
      </c>
      <c r="C90" s="417" t="s">
        <v>97</v>
      </c>
      <c r="D90" s="418" t="s">
        <v>316</v>
      </c>
      <c r="E90" s="354"/>
      <c r="F90" s="356"/>
      <c r="J90" s="67"/>
      <c r="K90" s="67"/>
      <c r="L90" s="67"/>
      <c r="M90" s="67"/>
      <c r="N90" s="67"/>
      <c r="O90" s="67"/>
      <c r="P90" s="67"/>
      <c r="Q90" s="67"/>
      <c r="R90" s="67"/>
      <c r="S90" s="67"/>
    </row>
    <row r="91" spans="1:19" s="95" customFormat="1" ht="45" hidden="1" customHeight="1" x14ac:dyDescent="0.35">
      <c r="A91" s="382"/>
      <c r="B91" s="111" t="s">
        <v>327</v>
      </c>
      <c r="C91" s="417"/>
      <c r="D91" s="418"/>
      <c r="E91" s="355"/>
      <c r="F91" s="356"/>
      <c r="J91" s="67"/>
      <c r="K91" s="67"/>
      <c r="L91" s="67"/>
      <c r="M91" s="67"/>
      <c r="N91" s="67"/>
      <c r="O91" s="67"/>
      <c r="P91" s="67"/>
      <c r="Q91" s="67"/>
      <c r="R91" s="67"/>
      <c r="S91" s="67"/>
    </row>
    <row r="92" spans="1:19" s="95" customFormat="1" ht="45" hidden="1" customHeight="1" x14ac:dyDescent="0.35">
      <c r="A92" s="382" t="s">
        <v>328</v>
      </c>
      <c r="B92" s="110" t="s">
        <v>329</v>
      </c>
      <c r="C92" s="417" t="s">
        <v>97</v>
      </c>
      <c r="D92" s="418" t="s">
        <v>316</v>
      </c>
      <c r="E92" s="354"/>
      <c r="F92" s="356"/>
      <c r="J92" s="67"/>
      <c r="K92" s="67"/>
      <c r="L92" s="67"/>
      <c r="M92" s="67"/>
      <c r="N92" s="67"/>
      <c r="O92" s="67"/>
      <c r="P92" s="67"/>
      <c r="Q92" s="67"/>
      <c r="R92" s="67"/>
      <c r="S92" s="67"/>
    </row>
    <row r="93" spans="1:19" s="95" customFormat="1" ht="45" hidden="1" customHeight="1" x14ac:dyDescent="0.35">
      <c r="A93" s="382"/>
      <c r="B93" s="111" t="s">
        <v>327</v>
      </c>
      <c r="C93" s="417"/>
      <c r="D93" s="418"/>
      <c r="E93" s="355"/>
      <c r="F93" s="356"/>
      <c r="J93" s="67"/>
      <c r="K93" s="67"/>
      <c r="L93" s="67"/>
      <c r="M93" s="67"/>
      <c r="N93" s="67"/>
      <c r="O93" s="67"/>
      <c r="P93" s="67"/>
      <c r="Q93" s="67"/>
      <c r="R93" s="67"/>
      <c r="S93" s="67"/>
    </row>
    <row r="94" spans="1:19" s="95" customFormat="1" ht="79.5" hidden="1" customHeight="1" x14ac:dyDescent="0.35">
      <c r="A94" s="106" t="s">
        <v>37</v>
      </c>
      <c r="B94" s="347" t="s">
        <v>64</v>
      </c>
      <c r="C94" s="373"/>
      <c r="D94" s="107" t="s">
        <v>65</v>
      </c>
      <c r="E94" s="100" t="s">
        <v>339</v>
      </c>
      <c r="F94" s="100" t="s">
        <v>338</v>
      </c>
      <c r="J94" s="67"/>
      <c r="K94" s="67"/>
      <c r="L94" s="67"/>
      <c r="M94" s="67"/>
      <c r="N94" s="67"/>
      <c r="O94" s="67"/>
      <c r="P94" s="67"/>
      <c r="Q94" s="67"/>
      <c r="R94" s="67"/>
      <c r="S94" s="67"/>
    </row>
    <row r="95" spans="1:19" s="95" customFormat="1" ht="45" hidden="1" customHeight="1" x14ac:dyDescent="0.35">
      <c r="A95" s="404" t="s">
        <v>330</v>
      </c>
      <c r="B95" s="423" t="s">
        <v>107</v>
      </c>
      <c r="C95" s="423"/>
      <c r="D95" s="402" t="s">
        <v>91</v>
      </c>
      <c r="E95" s="354"/>
      <c r="F95" s="356"/>
      <c r="G95" s="68"/>
      <c r="J95" s="67"/>
      <c r="K95" s="67"/>
      <c r="L95" s="67"/>
      <c r="M95" s="67"/>
      <c r="N95" s="67"/>
      <c r="O95" s="67"/>
      <c r="P95" s="67"/>
      <c r="Q95" s="67"/>
      <c r="R95" s="67"/>
      <c r="S95" s="67"/>
    </row>
    <row r="96" spans="1:19" s="95" customFormat="1" ht="45" hidden="1" customHeight="1" x14ac:dyDescent="0.35">
      <c r="A96" s="404"/>
      <c r="B96" s="416" t="s">
        <v>108</v>
      </c>
      <c r="C96" s="416"/>
      <c r="D96" s="402"/>
      <c r="E96" s="355"/>
      <c r="F96" s="356"/>
      <c r="G96" s="68"/>
      <c r="J96" s="67"/>
      <c r="K96" s="67"/>
      <c r="L96" s="67"/>
      <c r="M96" s="67"/>
      <c r="N96" s="67"/>
      <c r="O96" s="67"/>
      <c r="P96" s="67"/>
      <c r="Q96" s="67"/>
      <c r="R96" s="67"/>
      <c r="S96" s="67"/>
    </row>
    <row r="97" spans="1:19" s="95" customFormat="1" ht="79.5" hidden="1" customHeight="1" x14ac:dyDescent="0.35">
      <c r="A97" s="106" t="s">
        <v>38</v>
      </c>
      <c r="B97" s="347" t="s">
        <v>64</v>
      </c>
      <c r="C97" s="373"/>
      <c r="D97" s="107" t="s">
        <v>65</v>
      </c>
      <c r="E97" s="100" t="s">
        <v>339</v>
      </c>
      <c r="F97" s="100" t="s">
        <v>338</v>
      </c>
      <c r="J97" s="67"/>
      <c r="K97" s="67"/>
      <c r="L97" s="67"/>
      <c r="M97" s="67"/>
      <c r="N97" s="67"/>
      <c r="O97" s="67"/>
      <c r="P97" s="67"/>
      <c r="Q97" s="67"/>
      <c r="R97" s="67"/>
      <c r="S97" s="67"/>
    </row>
    <row r="98" spans="1:19" s="95" customFormat="1" ht="90" hidden="1" customHeight="1" x14ac:dyDescent="0.35">
      <c r="A98" s="127" t="s">
        <v>331</v>
      </c>
      <c r="B98" s="419" t="s">
        <v>332</v>
      </c>
      <c r="C98" s="388"/>
      <c r="D98" s="128" t="s">
        <v>91</v>
      </c>
      <c r="E98" s="129"/>
      <c r="F98" s="130"/>
      <c r="J98" s="67"/>
      <c r="K98" s="67"/>
      <c r="L98" s="67"/>
      <c r="M98" s="67"/>
      <c r="N98" s="67"/>
      <c r="O98" s="67"/>
      <c r="P98" s="67"/>
      <c r="Q98" s="67"/>
      <c r="R98" s="67"/>
      <c r="S98" s="67"/>
    </row>
    <row r="99" spans="1:19" s="95" customFormat="1" ht="45" hidden="1" customHeight="1" x14ac:dyDescent="0.35">
      <c r="A99" s="382" t="s">
        <v>333</v>
      </c>
      <c r="B99" s="110" t="s">
        <v>334</v>
      </c>
      <c r="C99" s="420" t="s">
        <v>97</v>
      </c>
      <c r="D99" s="422" t="s">
        <v>99</v>
      </c>
      <c r="E99" s="354"/>
      <c r="F99" s="356"/>
      <c r="J99" s="67"/>
      <c r="K99" s="67"/>
      <c r="L99" s="67"/>
      <c r="M99" s="67"/>
      <c r="N99" s="67"/>
      <c r="O99" s="67"/>
      <c r="P99" s="67"/>
      <c r="Q99" s="67"/>
      <c r="R99" s="67"/>
      <c r="S99" s="67"/>
    </row>
    <row r="100" spans="1:19" s="95" customFormat="1" ht="45" hidden="1" customHeight="1" x14ac:dyDescent="0.35">
      <c r="A100" s="382"/>
      <c r="B100" s="111" t="s">
        <v>335</v>
      </c>
      <c r="C100" s="421"/>
      <c r="D100" s="422"/>
      <c r="E100" s="355"/>
      <c r="F100" s="356"/>
      <c r="J100" s="67"/>
      <c r="K100" s="67"/>
      <c r="L100" s="67"/>
      <c r="M100" s="67"/>
      <c r="N100" s="67"/>
      <c r="O100" s="67"/>
      <c r="P100" s="67"/>
      <c r="Q100" s="67"/>
      <c r="R100" s="67"/>
      <c r="S100" s="67"/>
    </row>
    <row r="101" spans="1:19" s="95" customFormat="1" ht="79.5" customHeight="1" x14ac:dyDescent="0.35">
      <c r="A101" s="106" t="s">
        <v>39</v>
      </c>
      <c r="B101" s="347" t="s">
        <v>64</v>
      </c>
      <c r="C101" s="373"/>
      <c r="D101" s="107" t="s">
        <v>65</v>
      </c>
      <c r="E101" s="100" t="s">
        <v>339</v>
      </c>
      <c r="F101" s="100" t="s">
        <v>338</v>
      </c>
      <c r="J101" s="67"/>
      <c r="K101" s="67"/>
      <c r="L101" s="67"/>
      <c r="M101" s="67"/>
      <c r="N101" s="67"/>
      <c r="O101" s="67"/>
      <c r="P101" s="67"/>
      <c r="Q101" s="67"/>
      <c r="R101" s="67"/>
      <c r="S101" s="67"/>
    </row>
    <row r="102" spans="1:19" s="95" customFormat="1" ht="45" customHeight="1" x14ac:dyDescent="0.35">
      <c r="A102" s="429" t="s">
        <v>336</v>
      </c>
      <c r="B102" s="131" t="s">
        <v>202</v>
      </c>
      <c r="C102" s="420" t="s">
        <v>97</v>
      </c>
      <c r="D102" s="422" t="s">
        <v>99</v>
      </c>
      <c r="E102" s="354">
        <v>0.9</v>
      </c>
      <c r="F102" s="354">
        <v>0.9</v>
      </c>
      <c r="J102" s="67"/>
      <c r="K102" s="67"/>
      <c r="L102" s="67"/>
      <c r="M102" s="67"/>
      <c r="N102" s="67"/>
      <c r="O102" s="67"/>
      <c r="P102" s="67"/>
      <c r="Q102" s="67"/>
      <c r="R102" s="67"/>
      <c r="S102" s="67"/>
    </row>
    <row r="103" spans="1:19" ht="45" customHeight="1" x14ac:dyDescent="0.35">
      <c r="A103" s="382"/>
      <c r="B103" s="132" t="s">
        <v>109</v>
      </c>
      <c r="C103" s="421"/>
      <c r="D103" s="430"/>
      <c r="E103" s="355"/>
      <c r="F103" s="355"/>
    </row>
    <row r="104" spans="1:19" ht="45" customHeight="1" x14ac:dyDescent="0.35">
      <c r="A104" s="375" t="s">
        <v>337</v>
      </c>
      <c r="B104" s="133" t="s">
        <v>203</v>
      </c>
      <c r="C104" s="425" t="s">
        <v>97</v>
      </c>
      <c r="D104" s="391" t="s">
        <v>316</v>
      </c>
      <c r="E104" s="354">
        <v>0.9</v>
      </c>
      <c r="F104" s="354">
        <v>0.9</v>
      </c>
    </row>
    <row r="105" spans="1:19" ht="45" customHeight="1" thickBot="1" x14ac:dyDescent="0.4">
      <c r="A105" s="424"/>
      <c r="B105" s="134" t="s">
        <v>110</v>
      </c>
      <c r="C105" s="426"/>
      <c r="D105" s="427"/>
      <c r="E105" s="428"/>
      <c r="F105" s="428"/>
    </row>
    <row r="106" spans="1:19" ht="45" customHeight="1" x14ac:dyDescent="0.35"/>
    <row r="107" spans="1:19" ht="45" customHeight="1" x14ac:dyDescent="0.35"/>
    <row r="108" spans="1:19" ht="45" customHeight="1" x14ac:dyDescent="0.35"/>
    <row r="109" spans="1:19" ht="45" customHeight="1" x14ac:dyDescent="0.35"/>
    <row r="110" spans="1:19" ht="45" customHeight="1" x14ac:dyDescent="0.35"/>
    <row r="111" spans="1:19" ht="45" customHeight="1" x14ac:dyDescent="0.35"/>
    <row r="112" spans="1:19" ht="45" customHeight="1" x14ac:dyDescent="0.35"/>
    <row r="113" ht="45" customHeight="1" x14ac:dyDescent="0.35"/>
    <row r="114" ht="45" customHeight="1" x14ac:dyDescent="0.35"/>
  </sheetData>
  <mergeCells count="230">
    <mergeCell ref="A104:A105"/>
    <mergeCell ref="C104:C105"/>
    <mergeCell ref="D104:D105"/>
    <mergeCell ref="E104:E105"/>
    <mergeCell ref="F104:F105"/>
    <mergeCell ref="F99:F100"/>
    <mergeCell ref="B101:C101"/>
    <mergeCell ref="A102:A103"/>
    <mergeCell ref="C102:C103"/>
    <mergeCell ref="D102:D103"/>
    <mergeCell ref="E102:E103"/>
    <mergeCell ref="F102:F103"/>
    <mergeCell ref="B97:C97"/>
    <mergeCell ref="B98:C98"/>
    <mergeCell ref="A99:A100"/>
    <mergeCell ref="C99:C100"/>
    <mergeCell ref="D99:D100"/>
    <mergeCell ref="E99:E100"/>
    <mergeCell ref="A95:A96"/>
    <mergeCell ref="B95:C95"/>
    <mergeCell ref="D95:D96"/>
    <mergeCell ref="E95:E96"/>
    <mergeCell ref="F95:F96"/>
    <mergeCell ref="B96:C96"/>
    <mergeCell ref="A92:A93"/>
    <mergeCell ref="C92:C93"/>
    <mergeCell ref="D92:D93"/>
    <mergeCell ref="E92:E93"/>
    <mergeCell ref="F92:F93"/>
    <mergeCell ref="B94:C94"/>
    <mergeCell ref="A88:A89"/>
    <mergeCell ref="C88:C89"/>
    <mergeCell ref="D88:D89"/>
    <mergeCell ref="E88:E89"/>
    <mergeCell ref="F88:F89"/>
    <mergeCell ref="A90:A91"/>
    <mergeCell ref="C90:C91"/>
    <mergeCell ref="D90:D91"/>
    <mergeCell ref="E90:E91"/>
    <mergeCell ref="F90:F91"/>
    <mergeCell ref="A85:A86"/>
    <mergeCell ref="C85:C86"/>
    <mergeCell ref="D85:D86"/>
    <mergeCell ref="E85:E86"/>
    <mergeCell ref="F85:F86"/>
    <mergeCell ref="B87:C87"/>
    <mergeCell ref="B82:C82"/>
    <mergeCell ref="A83:A84"/>
    <mergeCell ref="C83:C84"/>
    <mergeCell ref="D83:D84"/>
    <mergeCell ref="E83:E84"/>
    <mergeCell ref="F83:F84"/>
    <mergeCell ref="A79:A80"/>
    <mergeCell ref="C79:C80"/>
    <mergeCell ref="D79:D80"/>
    <mergeCell ref="E79:E80"/>
    <mergeCell ref="F79:F80"/>
    <mergeCell ref="A81:A82"/>
    <mergeCell ref="B81:C81"/>
    <mergeCell ref="D81:D82"/>
    <mergeCell ref="E81:E82"/>
    <mergeCell ref="F81:F82"/>
    <mergeCell ref="B76:C76"/>
    <mergeCell ref="A77:A78"/>
    <mergeCell ref="B77:C77"/>
    <mergeCell ref="D77:D78"/>
    <mergeCell ref="E77:E78"/>
    <mergeCell ref="F77:F78"/>
    <mergeCell ref="B78:C78"/>
    <mergeCell ref="A72:A73"/>
    <mergeCell ref="C72:C73"/>
    <mergeCell ref="D72:D73"/>
    <mergeCell ref="E72:E73"/>
    <mergeCell ref="F72:F73"/>
    <mergeCell ref="A74:A75"/>
    <mergeCell ref="C74:C75"/>
    <mergeCell ref="D74:D75"/>
    <mergeCell ref="E74:E75"/>
    <mergeCell ref="F74:F75"/>
    <mergeCell ref="B69:C69"/>
    <mergeCell ref="A70:A71"/>
    <mergeCell ref="B70:C70"/>
    <mergeCell ref="D70:D71"/>
    <mergeCell ref="E70:E71"/>
    <mergeCell ref="F70:F71"/>
    <mergeCell ref="B71:C71"/>
    <mergeCell ref="A67:A68"/>
    <mergeCell ref="B67:C67"/>
    <mergeCell ref="D67:D68"/>
    <mergeCell ref="E67:E68"/>
    <mergeCell ref="F67:F68"/>
    <mergeCell ref="B68:C68"/>
    <mergeCell ref="F63:F64"/>
    <mergeCell ref="A65:A66"/>
    <mergeCell ref="C65:C66"/>
    <mergeCell ref="D65:D66"/>
    <mergeCell ref="E65:E66"/>
    <mergeCell ref="F65:F66"/>
    <mergeCell ref="B61:C61"/>
    <mergeCell ref="B62:C62"/>
    <mergeCell ref="A63:A64"/>
    <mergeCell ref="C63:C64"/>
    <mergeCell ref="D63:D64"/>
    <mergeCell ref="E63:E64"/>
    <mergeCell ref="F57:F58"/>
    <mergeCell ref="A59:A60"/>
    <mergeCell ref="C59:C60"/>
    <mergeCell ref="D59:D60"/>
    <mergeCell ref="E59:E60"/>
    <mergeCell ref="F59:F60"/>
    <mergeCell ref="B55:C55"/>
    <mergeCell ref="B56:C56"/>
    <mergeCell ref="A57:A58"/>
    <mergeCell ref="C57:C58"/>
    <mergeCell ref="D57:D58"/>
    <mergeCell ref="E57:E58"/>
    <mergeCell ref="E51:E52"/>
    <mergeCell ref="F51:F52"/>
    <mergeCell ref="A53:A54"/>
    <mergeCell ref="C53:C54"/>
    <mergeCell ref="D53:D54"/>
    <mergeCell ref="E53:E54"/>
    <mergeCell ref="F53:F54"/>
    <mergeCell ref="B48:C48"/>
    <mergeCell ref="B49:C49"/>
    <mergeCell ref="B50:C50"/>
    <mergeCell ref="A51:A52"/>
    <mergeCell ref="C51:C52"/>
    <mergeCell ref="D51:D52"/>
    <mergeCell ref="B45:C45"/>
    <mergeCell ref="A46:A47"/>
    <mergeCell ref="C46:C47"/>
    <mergeCell ref="D46:D47"/>
    <mergeCell ref="E46:E47"/>
    <mergeCell ref="F46:F47"/>
    <mergeCell ref="A42:A43"/>
    <mergeCell ref="C42:C43"/>
    <mergeCell ref="D42:D43"/>
    <mergeCell ref="E42:E43"/>
    <mergeCell ref="F42:F43"/>
    <mergeCell ref="A44:A45"/>
    <mergeCell ref="B44:C44"/>
    <mergeCell ref="D44:D45"/>
    <mergeCell ref="E44:E45"/>
    <mergeCell ref="F44:F45"/>
    <mergeCell ref="B39:C39"/>
    <mergeCell ref="A40:A41"/>
    <mergeCell ref="C40:C41"/>
    <mergeCell ref="D40:D41"/>
    <mergeCell ref="E40:E41"/>
    <mergeCell ref="F40:F41"/>
    <mergeCell ref="A35:A36"/>
    <mergeCell ref="C35:C36"/>
    <mergeCell ref="D35:D36"/>
    <mergeCell ref="E35:E36"/>
    <mergeCell ref="F35:F36"/>
    <mergeCell ref="A37:A38"/>
    <mergeCell ref="C37:C38"/>
    <mergeCell ref="D37:D38"/>
    <mergeCell ref="E37:E38"/>
    <mergeCell ref="F37:F38"/>
    <mergeCell ref="B32:C32"/>
    <mergeCell ref="A33:A34"/>
    <mergeCell ref="C33:C34"/>
    <mergeCell ref="D33:D34"/>
    <mergeCell ref="E33:E34"/>
    <mergeCell ref="F33:F34"/>
    <mergeCell ref="A28:A29"/>
    <mergeCell ref="C28:C29"/>
    <mergeCell ref="D28:D29"/>
    <mergeCell ref="E28:E29"/>
    <mergeCell ref="F28:F29"/>
    <mergeCell ref="A30:A31"/>
    <mergeCell ref="C30:C31"/>
    <mergeCell ref="D30:D31"/>
    <mergeCell ref="E30:E31"/>
    <mergeCell ref="F30:F31"/>
    <mergeCell ref="A24:A25"/>
    <mergeCell ref="C24:C25"/>
    <mergeCell ref="D24:D25"/>
    <mergeCell ref="E24:E25"/>
    <mergeCell ref="F24:F25"/>
    <mergeCell ref="A26:A27"/>
    <mergeCell ref="C26:C27"/>
    <mergeCell ref="D26:D27"/>
    <mergeCell ref="E26:E27"/>
    <mergeCell ref="F26:F27"/>
    <mergeCell ref="A20:A21"/>
    <mergeCell ref="C20:C21"/>
    <mergeCell ref="D20:D21"/>
    <mergeCell ref="E20:E21"/>
    <mergeCell ref="F20:F21"/>
    <mergeCell ref="A22:A23"/>
    <mergeCell ref="C22:C23"/>
    <mergeCell ref="D22:D23"/>
    <mergeCell ref="E22:E23"/>
    <mergeCell ref="F22:F23"/>
    <mergeCell ref="B17:C17"/>
    <mergeCell ref="A18:A19"/>
    <mergeCell ref="C18:C19"/>
    <mergeCell ref="D18:D19"/>
    <mergeCell ref="E18:E19"/>
    <mergeCell ref="F18:F19"/>
    <mergeCell ref="A14:A15"/>
    <mergeCell ref="C14:C15"/>
    <mergeCell ref="D14:D15"/>
    <mergeCell ref="E14:E15"/>
    <mergeCell ref="F14:F15"/>
    <mergeCell ref="A16:A17"/>
    <mergeCell ref="B16:C16"/>
    <mergeCell ref="D16:D17"/>
    <mergeCell ref="E16:E17"/>
    <mergeCell ref="F16:F17"/>
    <mergeCell ref="A10:F10"/>
    <mergeCell ref="B11:C11"/>
    <mergeCell ref="A12:A13"/>
    <mergeCell ref="C12:C13"/>
    <mergeCell ref="D12:D13"/>
    <mergeCell ref="E12:E13"/>
    <mergeCell ref="F12:F13"/>
    <mergeCell ref="A1:F1"/>
    <mergeCell ref="A2:F2"/>
    <mergeCell ref="A3:F3"/>
    <mergeCell ref="A5:F5"/>
    <mergeCell ref="B6:C6"/>
    <mergeCell ref="A7:A8"/>
    <mergeCell ref="C7:C8"/>
    <mergeCell ref="D7:D8"/>
    <mergeCell ref="E7:E8"/>
    <mergeCell ref="F7:F8"/>
  </mergeCells>
  <pageMargins left="0.51181102362204722" right="0.51181102362204722" top="0.78740157480314965" bottom="0.78740157480314965" header="0.31496062992125984" footer="0.31496062992125984"/>
  <pageSetup paperSize="9" scale="30" orientation="portrait" r:id="rId1"/>
  <rowBreaks count="2" manualBreakCount="2">
    <brk id="61" max="4" man="1"/>
    <brk id="75" max="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>
    <tabColor rgb="FF777777"/>
    <pageSetUpPr fitToPage="1"/>
  </sheetPr>
  <dimension ref="A2:AH27"/>
  <sheetViews>
    <sheetView showGridLines="0" topLeftCell="A13" zoomScale="50" zoomScaleNormal="50" zoomScaleSheetLayoutView="80" workbookViewId="0">
      <selection activeCell="J18" sqref="J18"/>
    </sheetView>
  </sheetViews>
  <sheetFormatPr defaultColWidth="9.140625" defaultRowHeight="15" x14ac:dyDescent="0.25"/>
  <cols>
    <col min="1" max="1" width="28.7109375" style="1" customWidth="1"/>
    <col min="2" max="2" width="10.28515625" style="1" customWidth="1"/>
    <col min="3" max="3" width="23.42578125" style="1" customWidth="1"/>
    <col min="4" max="4" width="10.5703125" style="1" customWidth="1"/>
    <col min="5" max="5" width="45.85546875" style="1" customWidth="1"/>
    <col min="6" max="6" width="64.140625" style="1" customWidth="1"/>
    <col min="7" max="7" width="57.5703125" style="1" customWidth="1"/>
    <col min="8" max="8" width="54" style="1" customWidth="1"/>
    <col min="9" max="9" width="50.140625" style="1" customWidth="1"/>
    <col min="10" max="12" width="28.28515625" style="1" customWidth="1"/>
    <col min="13" max="14" width="28.7109375" style="1" customWidth="1"/>
    <col min="15" max="16" width="27.28515625" style="1" customWidth="1"/>
    <col min="17" max="17" width="24.28515625" style="1" customWidth="1"/>
    <col min="18" max="18" width="29.28515625" style="1" customWidth="1"/>
    <col min="19" max="16384" width="9.140625" style="1"/>
  </cols>
  <sheetData>
    <row r="2" spans="1:34" ht="82.5" customHeight="1" x14ac:dyDescent="0.25">
      <c r="A2" s="431" t="s">
        <v>345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</row>
    <row r="3" spans="1:34" s="2" customFormat="1" ht="54" customHeight="1" x14ac:dyDescent="0.25">
      <c r="A3" s="434" t="str">
        <f>'Indicadores e Metas'!A2:F2</f>
        <v>CAU/UF:</v>
      </c>
      <c r="B3" s="435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6"/>
      <c r="AF3" s="2" t="s">
        <v>410</v>
      </c>
      <c r="AG3" s="2" t="s">
        <v>413</v>
      </c>
      <c r="AH3" s="2" t="s">
        <v>418</v>
      </c>
    </row>
    <row r="4" spans="1:34" s="2" customFormat="1" ht="45" customHeight="1" x14ac:dyDescent="0.25">
      <c r="A4" s="434" t="s">
        <v>347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6"/>
      <c r="AF4" s="2" t="s">
        <v>411</v>
      </c>
      <c r="AG4" s="2" t="s">
        <v>414</v>
      </c>
    </row>
    <row r="5" spans="1:34" s="7" customFormat="1" ht="32.25" customHeight="1" x14ac:dyDescent="0.3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AF5" s="7" t="s">
        <v>412</v>
      </c>
      <c r="AG5" s="2" t="s">
        <v>415</v>
      </c>
    </row>
    <row r="6" spans="1:34" s="2" customFormat="1" ht="62.25" customHeight="1" x14ac:dyDescent="0.25">
      <c r="A6" s="441" t="s">
        <v>78</v>
      </c>
      <c r="B6" s="441"/>
      <c r="C6" s="441"/>
      <c r="D6" s="441"/>
      <c r="E6" s="441"/>
      <c r="F6" s="441"/>
      <c r="G6" s="441"/>
      <c r="H6" s="441"/>
      <c r="I6" s="441"/>
      <c r="J6" s="441"/>
      <c r="K6" s="441"/>
      <c r="L6" s="441"/>
      <c r="M6" s="441"/>
      <c r="N6" s="441"/>
      <c r="O6" s="441"/>
      <c r="P6" s="441"/>
      <c r="Q6" s="441"/>
      <c r="R6" s="441" t="s">
        <v>23</v>
      </c>
      <c r="AG6" s="2" t="s">
        <v>416</v>
      </c>
    </row>
    <row r="7" spans="1:34" s="2" customFormat="1" ht="39" customHeight="1" x14ac:dyDescent="0.25">
      <c r="A7" s="432" t="s">
        <v>4</v>
      </c>
      <c r="B7" s="432" t="s">
        <v>193</v>
      </c>
      <c r="C7" s="432" t="s">
        <v>195</v>
      </c>
      <c r="D7" s="432" t="s">
        <v>196</v>
      </c>
      <c r="E7" s="432" t="s">
        <v>5</v>
      </c>
      <c r="F7" s="432" t="s">
        <v>61</v>
      </c>
      <c r="G7" s="432" t="s">
        <v>41</v>
      </c>
      <c r="H7" s="432" t="s">
        <v>185</v>
      </c>
      <c r="I7" s="432" t="s">
        <v>79</v>
      </c>
      <c r="J7" s="432" t="s">
        <v>340</v>
      </c>
      <c r="K7" s="437" t="s">
        <v>341</v>
      </c>
      <c r="L7" s="438"/>
      <c r="M7" s="448" t="s">
        <v>344</v>
      </c>
      <c r="N7" s="439" t="s">
        <v>212</v>
      </c>
      <c r="O7" s="446" t="s">
        <v>213</v>
      </c>
      <c r="P7" s="446" t="s">
        <v>214</v>
      </c>
      <c r="Q7" s="437" t="s">
        <v>346</v>
      </c>
      <c r="R7" s="438"/>
      <c r="AG7" s="2" t="s">
        <v>417</v>
      </c>
    </row>
    <row r="8" spans="1:34" s="2" customFormat="1" ht="95.25" customHeight="1" x14ac:dyDescent="0.25">
      <c r="A8" s="433"/>
      <c r="B8" s="433"/>
      <c r="C8" s="433"/>
      <c r="D8" s="433"/>
      <c r="E8" s="433"/>
      <c r="F8" s="433"/>
      <c r="G8" s="433"/>
      <c r="H8" s="433"/>
      <c r="I8" s="433"/>
      <c r="J8" s="433"/>
      <c r="K8" s="81" t="s">
        <v>342</v>
      </c>
      <c r="L8" s="82" t="s">
        <v>343</v>
      </c>
      <c r="M8" s="432"/>
      <c r="N8" s="440"/>
      <c r="O8" s="447"/>
      <c r="P8" s="447"/>
      <c r="Q8" s="138" t="s">
        <v>215</v>
      </c>
      <c r="R8" s="138" t="s">
        <v>216</v>
      </c>
      <c r="AG8" s="2" t="s">
        <v>412</v>
      </c>
    </row>
    <row r="9" spans="1:34" s="2" customFormat="1" ht="83.25" customHeight="1" x14ac:dyDescent="0.25">
      <c r="A9" s="33" t="s">
        <v>421</v>
      </c>
      <c r="B9" s="224" t="s">
        <v>411</v>
      </c>
      <c r="C9" s="280" t="s">
        <v>415</v>
      </c>
      <c r="D9" s="224"/>
      <c r="E9" s="33" t="s">
        <v>427</v>
      </c>
      <c r="F9" s="225" t="s">
        <v>441</v>
      </c>
      <c r="G9" s="33" t="s">
        <v>35</v>
      </c>
      <c r="H9" s="23"/>
      <c r="I9" s="225" t="s">
        <v>454</v>
      </c>
      <c r="J9" s="35">
        <v>21343.51</v>
      </c>
      <c r="K9" s="35">
        <v>8893.15</v>
      </c>
      <c r="L9" s="35">
        <f>'Anexo 4.Quadro Descritivo.'!F169</f>
        <v>9777.6400000000012</v>
      </c>
      <c r="M9" s="93">
        <f>K9+L9</f>
        <v>18670.79</v>
      </c>
      <c r="N9" s="35"/>
      <c r="O9" s="278"/>
      <c r="P9" s="84">
        <f>IFERROR(O9/M9*100,)</f>
        <v>0</v>
      </c>
      <c r="Q9" s="37">
        <f>M9-J9</f>
        <v>-2672.7199999999975</v>
      </c>
      <c r="R9" s="143">
        <f>IFERROR(Q9/J9*100,)</f>
        <v>-12.522401423196081</v>
      </c>
    </row>
    <row r="10" spans="1:34" s="2" customFormat="1" ht="105" x14ac:dyDescent="0.25">
      <c r="A10" s="33" t="s">
        <v>421</v>
      </c>
      <c r="B10" s="224" t="s">
        <v>411</v>
      </c>
      <c r="C10" s="280" t="s">
        <v>415</v>
      </c>
      <c r="D10" s="224" t="s">
        <v>418</v>
      </c>
      <c r="E10" s="33" t="s">
        <v>428</v>
      </c>
      <c r="F10" s="225" t="s">
        <v>442</v>
      </c>
      <c r="G10" s="33" t="s">
        <v>137</v>
      </c>
      <c r="H10" s="23"/>
      <c r="I10" s="225" t="s">
        <v>455</v>
      </c>
      <c r="J10" s="35">
        <v>5700.74</v>
      </c>
      <c r="K10" s="35">
        <v>2375.3000000000002</v>
      </c>
      <c r="L10" s="35">
        <f>'Anexo 4.Quadro Descritivo.'!F179</f>
        <v>5782.9299999999994</v>
      </c>
      <c r="M10" s="93">
        <f t="shared" ref="M10:M22" si="0">K10+L10</f>
        <v>8158.23</v>
      </c>
      <c r="N10" s="35"/>
      <c r="O10" s="278">
        <f>M10</f>
        <v>8158.23</v>
      </c>
      <c r="P10" s="84">
        <f t="shared" ref="P10:P22" si="1">IFERROR(O10/M10*100,)</f>
        <v>100</v>
      </c>
      <c r="Q10" s="37">
        <f t="shared" ref="Q10:Q14" si="2">M10-J10</f>
        <v>2457.4899999999998</v>
      </c>
      <c r="R10" s="143">
        <f t="shared" ref="R10:R23" si="3">IFERROR(Q10/J10*100,)</f>
        <v>43.108263137768077</v>
      </c>
    </row>
    <row r="11" spans="1:34" s="2" customFormat="1" ht="105" x14ac:dyDescent="0.25">
      <c r="A11" s="33" t="s">
        <v>421</v>
      </c>
      <c r="B11" s="224" t="s">
        <v>411</v>
      </c>
      <c r="C11" s="280" t="s">
        <v>415</v>
      </c>
      <c r="D11" s="224" t="s">
        <v>418</v>
      </c>
      <c r="E11" s="33" t="s">
        <v>429</v>
      </c>
      <c r="F11" s="225" t="s">
        <v>442</v>
      </c>
      <c r="G11" s="33" t="s">
        <v>27</v>
      </c>
      <c r="H11" s="23"/>
      <c r="I11" s="225" t="s">
        <v>455</v>
      </c>
      <c r="J11" s="35">
        <v>47083.88</v>
      </c>
      <c r="K11" s="35">
        <v>19618.3</v>
      </c>
      <c r="L11" s="35">
        <f>'Anexo 4.Quadro Descritivo.'!F187</f>
        <v>38268.149999999994</v>
      </c>
      <c r="M11" s="93">
        <f t="shared" si="0"/>
        <v>57886.45</v>
      </c>
      <c r="N11" s="35"/>
      <c r="O11" s="278">
        <f>M11</f>
        <v>57886.45</v>
      </c>
      <c r="P11" s="84">
        <f t="shared" si="1"/>
        <v>100</v>
      </c>
      <c r="Q11" s="37">
        <f t="shared" si="2"/>
        <v>10802.57</v>
      </c>
      <c r="R11" s="143">
        <f>IFERROR(Q11/J11*100,)</f>
        <v>22.943245119136314</v>
      </c>
    </row>
    <row r="12" spans="1:34" s="2" customFormat="1" ht="105" x14ac:dyDescent="0.25">
      <c r="A12" s="33" t="s">
        <v>421</v>
      </c>
      <c r="B12" s="224" t="s">
        <v>411</v>
      </c>
      <c r="C12" s="280" t="s">
        <v>415</v>
      </c>
      <c r="D12" s="224"/>
      <c r="E12" s="33" t="s">
        <v>430</v>
      </c>
      <c r="F12" s="33" t="s">
        <v>443</v>
      </c>
      <c r="G12" s="33" t="s">
        <v>35</v>
      </c>
      <c r="H12" s="23"/>
      <c r="I12" s="33" t="s">
        <v>456</v>
      </c>
      <c r="J12" s="35">
        <v>10000</v>
      </c>
      <c r="K12" s="35">
        <v>0</v>
      </c>
      <c r="L12" s="35">
        <f>'Anexo 4.Quadro Descritivo.'!F197</f>
        <v>20000</v>
      </c>
      <c r="M12" s="93">
        <f t="shared" si="0"/>
        <v>20000</v>
      </c>
      <c r="N12" s="35"/>
      <c r="O12" s="278"/>
      <c r="P12" s="84">
        <f t="shared" si="1"/>
        <v>0</v>
      </c>
      <c r="Q12" s="37">
        <f t="shared" si="2"/>
        <v>10000</v>
      </c>
      <c r="R12" s="143">
        <f t="shared" si="3"/>
        <v>100</v>
      </c>
    </row>
    <row r="13" spans="1:34" s="2" customFormat="1" ht="131.25" x14ac:dyDescent="0.25">
      <c r="A13" s="33" t="s">
        <v>422</v>
      </c>
      <c r="B13" s="224" t="s">
        <v>411</v>
      </c>
      <c r="C13" s="280" t="s">
        <v>415</v>
      </c>
      <c r="D13" s="224" t="s">
        <v>418</v>
      </c>
      <c r="E13" s="33" t="s">
        <v>431</v>
      </c>
      <c r="F13" s="33" t="s">
        <v>444</v>
      </c>
      <c r="G13" s="33" t="s">
        <v>39</v>
      </c>
      <c r="H13" s="23"/>
      <c r="I13" s="33" t="s">
        <v>457</v>
      </c>
      <c r="J13" s="35">
        <v>534100</v>
      </c>
      <c r="K13" s="35">
        <v>201028.76</v>
      </c>
      <c r="L13" s="35">
        <f>'Anexo 4.Quadro Descritivo.'!F42</f>
        <v>455005.02000000008</v>
      </c>
      <c r="M13" s="93">
        <f t="shared" si="0"/>
        <v>656033.78</v>
      </c>
      <c r="N13" s="35">
        <v>58000</v>
      </c>
      <c r="O13" s="278">
        <v>90000</v>
      </c>
      <c r="P13" s="84">
        <f t="shared" si="1"/>
        <v>13.718805760276551</v>
      </c>
      <c r="Q13" s="37">
        <f t="shared" si="2"/>
        <v>121933.78000000003</v>
      </c>
      <c r="R13" s="143">
        <f t="shared" si="3"/>
        <v>22.829765961430446</v>
      </c>
    </row>
    <row r="14" spans="1:34" s="2" customFormat="1" ht="105" x14ac:dyDescent="0.25">
      <c r="A14" s="33" t="s">
        <v>423</v>
      </c>
      <c r="B14" s="224" t="s">
        <v>411</v>
      </c>
      <c r="C14" s="280" t="s">
        <v>415</v>
      </c>
      <c r="D14" s="224" t="s">
        <v>418</v>
      </c>
      <c r="E14" s="33" t="s">
        <v>432</v>
      </c>
      <c r="F14" s="33" t="s">
        <v>445</v>
      </c>
      <c r="G14" s="33" t="s">
        <v>137</v>
      </c>
      <c r="H14" s="23"/>
      <c r="I14" s="33" t="s">
        <v>458</v>
      </c>
      <c r="J14" s="35">
        <v>181000</v>
      </c>
      <c r="K14" s="35">
        <v>67129.62</v>
      </c>
      <c r="L14" s="35">
        <f>'Anexo 4.Quadro Descritivo.'!F57</f>
        <v>112519.84000000001</v>
      </c>
      <c r="M14" s="93">
        <f t="shared" si="0"/>
        <v>179649.46000000002</v>
      </c>
      <c r="N14" s="35"/>
      <c r="O14" s="278">
        <v>80000</v>
      </c>
      <c r="P14" s="84">
        <f t="shared" si="1"/>
        <v>44.531166417088031</v>
      </c>
      <c r="Q14" s="37">
        <f t="shared" si="2"/>
        <v>-1350.539999999979</v>
      </c>
      <c r="R14" s="143">
        <f t="shared" si="3"/>
        <v>-0.74615469613258512</v>
      </c>
    </row>
    <row r="15" spans="1:34" s="2" customFormat="1" ht="50.25" customHeight="1" x14ac:dyDescent="0.25">
      <c r="A15" s="33" t="s">
        <v>423</v>
      </c>
      <c r="B15" s="224" t="s">
        <v>411</v>
      </c>
      <c r="C15" s="280" t="s">
        <v>415</v>
      </c>
      <c r="D15" s="224" t="s">
        <v>418</v>
      </c>
      <c r="E15" s="33" t="s">
        <v>433</v>
      </c>
      <c r="F15" s="33" t="s">
        <v>446</v>
      </c>
      <c r="G15" s="33" t="s">
        <v>27</v>
      </c>
      <c r="H15" s="23"/>
      <c r="I15" s="33" t="s">
        <v>459</v>
      </c>
      <c r="J15" s="35">
        <v>335600</v>
      </c>
      <c r="K15" s="35">
        <v>128139.89</v>
      </c>
      <c r="L15" s="35">
        <f>'Anexo 4.Quadro Descritivo.'!F74</f>
        <v>234970.11</v>
      </c>
      <c r="M15" s="93">
        <f t="shared" si="0"/>
        <v>363110</v>
      </c>
      <c r="N15" s="35"/>
      <c r="O15" s="278">
        <v>80000</v>
      </c>
      <c r="P15" s="84">
        <f t="shared" si="1"/>
        <v>22.031891162457658</v>
      </c>
      <c r="Q15" s="37"/>
      <c r="R15" s="143">
        <f t="shared" si="3"/>
        <v>0</v>
      </c>
    </row>
    <row r="16" spans="1:34" s="2" customFormat="1" ht="50.25" customHeight="1" x14ac:dyDescent="0.25">
      <c r="A16" s="33" t="s">
        <v>422</v>
      </c>
      <c r="B16" s="224" t="s">
        <v>411</v>
      </c>
      <c r="C16" s="280" t="s">
        <v>415</v>
      </c>
      <c r="D16" s="224" t="s">
        <v>418</v>
      </c>
      <c r="E16" s="33" t="s">
        <v>434</v>
      </c>
      <c r="F16" s="33" t="s">
        <v>447</v>
      </c>
      <c r="G16" s="33" t="s">
        <v>32</v>
      </c>
      <c r="H16" s="23"/>
      <c r="I16" s="33" t="s">
        <v>460</v>
      </c>
      <c r="J16" s="35">
        <v>102700</v>
      </c>
      <c r="K16" s="35">
        <v>35994.43</v>
      </c>
      <c r="L16" s="35">
        <f>'Anexo 4.Quadro Descritivo.'!F90</f>
        <v>74985.570000000007</v>
      </c>
      <c r="M16" s="93">
        <f t="shared" si="0"/>
        <v>110980</v>
      </c>
      <c r="N16" s="35"/>
      <c r="O16" s="278">
        <v>31244.44</v>
      </c>
      <c r="P16" s="84">
        <f t="shared" si="1"/>
        <v>28.153216795819063</v>
      </c>
      <c r="Q16" s="37"/>
      <c r="R16" s="143">
        <f t="shared" si="3"/>
        <v>0</v>
      </c>
    </row>
    <row r="17" spans="1:18" s="2" customFormat="1" ht="50.25" customHeight="1" x14ac:dyDescent="0.25">
      <c r="A17" s="33" t="s">
        <v>421</v>
      </c>
      <c r="B17" s="224" t="s">
        <v>410</v>
      </c>
      <c r="C17" s="280" t="s">
        <v>415</v>
      </c>
      <c r="D17" s="224"/>
      <c r="E17" s="33" t="s">
        <v>435</v>
      </c>
      <c r="F17" s="33" t="s">
        <v>448</v>
      </c>
      <c r="G17" s="33" t="s">
        <v>29</v>
      </c>
      <c r="H17" s="23"/>
      <c r="I17" s="33" t="s">
        <v>461</v>
      </c>
      <c r="J17" s="35">
        <v>22000</v>
      </c>
      <c r="K17" s="35">
        <v>0</v>
      </c>
      <c r="L17" s="35">
        <f>'Anexo 4.Quadro Descritivo.'!F99</f>
        <v>30000</v>
      </c>
      <c r="M17" s="93">
        <f t="shared" si="0"/>
        <v>30000</v>
      </c>
      <c r="N17" s="35"/>
      <c r="O17" s="278"/>
      <c r="P17" s="84">
        <f t="shared" si="1"/>
        <v>0</v>
      </c>
      <c r="Q17" s="37"/>
      <c r="R17" s="143">
        <f t="shared" si="3"/>
        <v>0</v>
      </c>
    </row>
    <row r="18" spans="1:18" s="2" customFormat="1" ht="105" x14ac:dyDescent="0.25">
      <c r="A18" s="33" t="s">
        <v>422</v>
      </c>
      <c r="B18" s="224" t="s">
        <v>410</v>
      </c>
      <c r="C18" s="280" t="s">
        <v>415</v>
      </c>
      <c r="D18" s="224"/>
      <c r="E18" s="33" t="s">
        <v>436</v>
      </c>
      <c r="F18" s="33" t="s">
        <v>449</v>
      </c>
      <c r="G18" s="33" t="s">
        <v>37</v>
      </c>
      <c r="H18" s="23"/>
      <c r="I18" s="33" t="s">
        <v>462</v>
      </c>
      <c r="J18" s="35">
        <v>18000</v>
      </c>
      <c r="K18" s="35">
        <v>340</v>
      </c>
      <c r="L18" s="35">
        <f>'Anexo 4.Quadro Descritivo.'!F109</f>
        <v>24660</v>
      </c>
      <c r="M18" s="93">
        <f t="shared" si="0"/>
        <v>25000</v>
      </c>
      <c r="N18" s="35"/>
      <c r="O18" s="278"/>
      <c r="P18" s="84">
        <f t="shared" si="1"/>
        <v>0</v>
      </c>
      <c r="Q18" s="37"/>
      <c r="R18" s="143">
        <f t="shared" si="3"/>
        <v>0</v>
      </c>
    </row>
    <row r="19" spans="1:18" s="2" customFormat="1" ht="105" x14ac:dyDescent="0.25">
      <c r="A19" s="33" t="s">
        <v>424</v>
      </c>
      <c r="B19" s="224" t="s">
        <v>411</v>
      </c>
      <c r="C19" s="280" t="s">
        <v>415</v>
      </c>
      <c r="D19" s="224"/>
      <c r="E19" s="33" t="s">
        <v>437</v>
      </c>
      <c r="F19" s="33" t="s">
        <v>450</v>
      </c>
      <c r="G19" s="33" t="s">
        <v>33</v>
      </c>
      <c r="H19" s="23"/>
      <c r="I19" s="33" t="s">
        <v>463</v>
      </c>
      <c r="J19" s="35">
        <v>13500</v>
      </c>
      <c r="K19" s="35">
        <v>0</v>
      </c>
      <c r="L19" s="35">
        <f>'Anexo 4.Quadro Descritivo.'!F119</f>
        <v>6600</v>
      </c>
      <c r="M19" s="93">
        <f t="shared" si="0"/>
        <v>6600</v>
      </c>
      <c r="N19" s="35"/>
      <c r="O19" s="278"/>
      <c r="P19" s="84">
        <f t="shared" si="1"/>
        <v>0</v>
      </c>
      <c r="Q19" s="37"/>
      <c r="R19" s="143">
        <f t="shared" si="3"/>
        <v>0</v>
      </c>
    </row>
    <row r="20" spans="1:18" s="2" customFormat="1" ht="157.5" x14ac:dyDescent="0.25">
      <c r="A20" s="33" t="s">
        <v>425</v>
      </c>
      <c r="B20" s="224" t="s">
        <v>411</v>
      </c>
      <c r="C20" s="280" t="s">
        <v>415</v>
      </c>
      <c r="D20" s="224"/>
      <c r="E20" s="33" t="s">
        <v>438</v>
      </c>
      <c r="F20" s="33" t="s">
        <v>451</v>
      </c>
      <c r="G20" s="33" t="s">
        <v>36</v>
      </c>
      <c r="H20" s="23"/>
      <c r="I20" s="33" t="s">
        <v>464</v>
      </c>
      <c r="J20" s="35">
        <v>27100</v>
      </c>
      <c r="K20" s="35">
        <v>0</v>
      </c>
      <c r="L20" s="35">
        <f>'Anexo 4.Quadro Descritivo.'!F131</f>
        <v>13550</v>
      </c>
      <c r="M20" s="93">
        <f t="shared" si="0"/>
        <v>13550</v>
      </c>
      <c r="N20" s="35"/>
      <c r="O20" s="278"/>
      <c r="P20" s="84">
        <f t="shared" si="1"/>
        <v>0</v>
      </c>
      <c r="Q20" s="37"/>
      <c r="R20" s="143">
        <f t="shared" si="3"/>
        <v>0</v>
      </c>
    </row>
    <row r="21" spans="1:18" s="2" customFormat="1" ht="105" x14ac:dyDescent="0.25">
      <c r="A21" s="33" t="s">
        <v>421</v>
      </c>
      <c r="B21" s="224" t="s">
        <v>411</v>
      </c>
      <c r="C21" s="280" t="s">
        <v>415</v>
      </c>
      <c r="D21" s="224" t="s">
        <v>418</v>
      </c>
      <c r="E21" s="33" t="s">
        <v>439</v>
      </c>
      <c r="F21" s="33" t="s">
        <v>452</v>
      </c>
      <c r="G21" s="33" t="s">
        <v>148</v>
      </c>
      <c r="H21" s="23"/>
      <c r="I21" s="33" t="s">
        <v>465</v>
      </c>
      <c r="J21" s="35">
        <v>71271.87</v>
      </c>
      <c r="K21" s="35">
        <v>15715.49</v>
      </c>
      <c r="L21" s="35">
        <f>'Anexo 4.Quadro Descritivo.'!F146</f>
        <v>63186.38</v>
      </c>
      <c r="M21" s="93">
        <f t="shared" si="0"/>
        <v>78901.87</v>
      </c>
      <c r="N21" s="35"/>
      <c r="O21" s="278">
        <v>13240</v>
      </c>
      <c r="P21" s="84">
        <f t="shared" si="1"/>
        <v>16.780337398847458</v>
      </c>
      <c r="Q21" s="37"/>
      <c r="R21" s="143">
        <f t="shared" si="3"/>
        <v>0</v>
      </c>
    </row>
    <row r="22" spans="1:18" s="2" customFormat="1" ht="131.25" x14ac:dyDescent="0.25">
      <c r="A22" s="33" t="s">
        <v>426</v>
      </c>
      <c r="B22" s="224" t="s">
        <v>410</v>
      </c>
      <c r="C22" s="280" t="s">
        <v>415</v>
      </c>
      <c r="D22" s="224"/>
      <c r="E22" s="33" t="s">
        <v>440</v>
      </c>
      <c r="F22" s="33" t="s">
        <v>453</v>
      </c>
      <c r="G22" s="33" t="s">
        <v>34</v>
      </c>
      <c r="H22" s="23"/>
      <c r="I22" s="33" t="s">
        <v>466</v>
      </c>
      <c r="J22" s="35">
        <v>32600</v>
      </c>
      <c r="K22" s="35">
        <v>0</v>
      </c>
      <c r="L22" s="35">
        <f>'Anexo 4.Quadro Descritivo.'!F161</f>
        <v>90000</v>
      </c>
      <c r="M22" s="93">
        <f t="shared" si="0"/>
        <v>90000</v>
      </c>
      <c r="N22" s="35"/>
      <c r="O22" s="278"/>
      <c r="P22" s="84">
        <f t="shared" si="1"/>
        <v>0</v>
      </c>
      <c r="Q22" s="37"/>
      <c r="R22" s="143">
        <f t="shared" si="3"/>
        <v>0</v>
      </c>
    </row>
    <row r="23" spans="1:18" s="2" customFormat="1" ht="21.75" thickBot="1" x14ac:dyDescent="0.3">
      <c r="A23" s="449" t="s">
        <v>6</v>
      </c>
      <c r="B23" s="450"/>
      <c r="C23" s="450"/>
      <c r="D23" s="450"/>
      <c r="E23" s="450"/>
      <c r="F23" s="450"/>
      <c r="G23" s="450"/>
      <c r="H23" s="450"/>
      <c r="I23" s="451"/>
      <c r="J23" s="36">
        <f t="shared" ref="J23:Q23" si="4">SUM(J9:J22)</f>
        <v>1422000</v>
      </c>
      <c r="K23" s="231">
        <f t="shared" si="4"/>
        <v>479234.94</v>
      </c>
      <c r="L23" s="36">
        <f t="shared" si="4"/>
        <v>1179305.6399999999</v>
      </c>
      <c r="M23" s="36">
        <f t="shared" si="4"/>
        <v>1658540.58</v>
      </c>
      <c r="N23" s="36">
        <f t="shared" si="4"/>
        <v>58000</v>
      </c>
      <c r="O23" s="279">
        <f t="shared" si="4"/>
        <v>360529.12</v>
      </c>
      <c r="P23" s="36">
        <f t="shared" si="4"/>
        <v>325.21541753448878</v>
      </c>
      <c r="Q23" s="36">
        <f t="shared" si="4"/>
        <v>141170.58000000005</v>
      </c>
      <c r="R23" s="36">
        <f t="shared" si="3"/>
        <v>9.9276075949367115</v>
      </c>
    </row>
    <row r="24" spans="1:18" s="2" customFormat="1" ht="33" customHeight="1" x14ac:dyDescent="0.3">
      <c r="A24" s="442" t="s">
        <v>194</v>
      </c>
      <c r="B24" s="442"/>
      <c r="C24" s="442"/>
      <c r="D24" s="442"/>
      <c r="E24" s="442"/>
      <c r="F24" s="442"/>
      <c r="G24" s="442"/>
      <c r="H24" s="442"/>
      <c r="I24" s="442"/>
      <c r="J24" s="442"/>
      <c r="K24" s="442"/>
      <c r="L24" s="442"/>
      <c r="M24" s="442"/>
      <c r="N24" s="442"/>
      <c r="O24" s="442"/>
      <c r="P24" s="442"/>
      <c r="Q24" s="442"/>
      <c r="R24" s="442"/>
    </row>
    <row r="25" spans="1:18" s="2" customFormat="1" ht="21" x14ac:dyDescent="0.25">
      <c r="A25" s="445" t="s">
        <v>217</v>
      </c>
      <c r="B25" s="445"/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</row>
    <row r="26" spans="1:18" s="2" customFormat="1" ht="130.5" customHeight="1" x14ac:dyDescent="0.25">
      <c r="A26" s="444"/>
      <c r="B26" s="444"/>
      <c r="C26" s="444"/>
      <c r="D26" s="444"/>
      <c r="E26" s="444"/>
      <c r="F26" s="444"/>
      <c r="G26" s="444"/>
      <c r="H26" s="444"/>
      <c r="I26" s="444"/>
      <c r="J26" s="444"/>
      <c r="K26" s="444"/>
      <c r="L26" s="444"/>
      <c r="M26" s="444"/>
      <c r="N26" s="444"/>
      <c r="O26" s="444"/>
      <c r="P26" s="444"/>
      <c r="Q26" s="444"/>
      <c r="R26" s="444"/>
    </row>
    <row r="27" spans="1:18" s="2" customFormat="1" ht="15" customHeight="1" x14ac:dyDescent="0.25">
      <c r="A27" s="443"/>
      <c r="B27" s="443"/>
      <c r="C27" s="443"/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3"/>
      <c r="O27" s="443"/>
      <c r="P27" s="443"/>
      <c r="Q27" s="443"/>
      <c r="R27" s="443"/>
    </row>
  </sheetData>
  <sheetProtection formatCells="0" formatRows="0" insertRows="0" deleteRows="0"/>
  <mergeCells count="26">
    <mergeCell ref="A24:R24"/>
    <mergeCell ref="C7:C8"/>
    <mergeCell ref="A27:R27"/>
    <mergeCell ref="A26:R26"/>
    <mergeCell ref="A25:R25"/>
    <mergeCell ref="J7:J8"/>
    <mergeCell ref="O7:O8"/>
    <mergeCell ref="M7:M8"/>
    <mergeCell ref="A23:I23"/>
    <mergeCell ref="H7:H8"/>
    <mergeCell ref="P7:P8"/>
    <mergeCell ref="A2:R2"/>
    <mergeCell ref="I7:I8"/>
    <mergeCell ref="A4:R4"/>
    <mergeCell ref="Q7:R7"/>
    <mergeCell ref="A7:A8"/>
    <mergeCell ref="B7:B8"/>
    <mergeCell ref="E7:E8"/>
    <mergeCell ref="G7:G8"/>
    <mergeCell ref="F7:F8"/>
    <mergeCell ref="A3:R3"/>
    <mergeCell ref="K7:L7"/>
    <mergeCell ref="D7:D8"/>
    <mergeCell ref="N7:N8"/>
    <mergeCell ref="A6:N6"/>
    <mergeCell ref="O6:R6"/>
  </mergeCells>
  <dataValidations count="3">
    <dataValidation type="list" allowBlank="1" showInputMessage="1" showErrorMessage="1" sqref="B9:B22" xr:uid="{00000000-0002-0000-0400-000000000000}">
      <formula1>$AF$2:$AF$5</formula1>
    </dataValidation>
    <dataValidation type="list" allowBlank="1" showInputMessage="1" showErrorMessage="1" sqref="C9:C22" xr:uid="{00000000-0002-0000-0400-000001000000}">
      <formula1>$AG$2:$AG$8</formula1>
    </dataValidation>
    <dataValidation type="list" allowBlank="1" showInputMessage="1" showErrorMessage="1" sqref="D9:D22" xr:uid="{00000000-0002-0000-0400-000002000000}">
      <formula1>"X"</formula1>
    </dataValidation>
  </dataValidations>
  <pageMargins left="0.23622047244094491" right="0.23622047244094491" top="0.27" bottom="0.17" header="0.31496062992125984" footer="0.31496062992125984"/>
  <pageSetup paperSize="9" scale="41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02EA4EC-C0D3-450D-BF66-5F3028CF47B5}">
          <x14:formula1>
            <xm:f>Resumo!$B$1:$B$18</xm:f>
          </x14:formula1>
          <xm:sqref>H9:H22</xm:sqref>
        </x14:dataValidation>
        <x14:dataValidation type="list" allowBlank="1" showInputMessage="1" showErrorMessage="1" xr:uid="{097344E0-58BA-41FA-8D56-172096D0B84A}">
          <x14:formula1>
            <xm:f>Resumo!$Q$1:$Q$16</xm:f>
          </x14:formula1>
          <xm:sqref>G9:G22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rgb="FF777777"/>
    <pageSetUpPr fitToPage="1"/>
  </sheetPr>
  <dimension ref="A1:AB60"/>
  <sheetViews>
    <sheetView showGridLines="0" topLeftCell="A4" zoomScaleNormal="100" zoomScaleSheetLayoutView="80" workbookViewId="0">
      <selection activeCell="F45" sqref="F45"/>
    </sheetView>
  </sheetViews>
  <sheetFormatPr defaultRowHeight="15" x14ac:dyDescent="0.25"/>
  <cols>
    <col min="1" max="1" width="42.5703125" customWidth="1"/>
    <col min="2" max="2" width="25.7109375" customWidth="1"/>
    <col min="3" max="3" width="25.5703125" style="78" bestFit="1" customWidth="1"/>
    <col min="4" max="4" width="20.7109375" customWidth="1"/>
    <col min="5" max="5" width="25.5703125" style="78" customWidth="1"/>
    <col min="6" max="6" width="26.7109375" style="78" customWidth="1"/>
    <col min="7" max="7" width="17.28515625" customWidth="1"/>
    <col min="8" max="9" width="17.42578125" customWidth="1"/>
    <col min="10" max="10" width="34.42578125" hidden="1" customWidth="1"/>
    <col min="11" max="11" width="20.140625" hidden="1" customWidth="1"/>
    <col min="12" max="12" width="37.7109375" hidden="1" customWidth="1"/>
    <col min="13" max="13" width="38.42578125" hidden="1" customWidth="1"/>
    <col min="15" max="15" width="33.5703125" customWidth="1"/>
  </cols>
  <sheetData>
    <row r="1" spans="1:28" hidden="1" x14ac:dyDescent="0.25"/>
    <row r="2" spans="1:28" hidden="1" x14ac:dyDescent="0.25"/>
    <row r="3" spans="1:28" ht="30.75" hidden="1" customHeight="1" x14ac:dyDescent="0.25"/>
    <row r="4" spans="1:28" ht="18.75" x14ac:dyDescent="0.25">
      <c r="A4" s="452" t="s">
        <v>563</v>
      </c>
      <c r="B4" s="453"/>
      <c r="C4" s="453"/>
      <c r="D4" s="453"/>
      <c r="E4" s="453"/>
      <c r="F4" s="453"/>
      <c r="G4" s="453"/>
      <c r="H4" s="453"/>
      <c r="I4" s="453"/>
    </row>
    <row r="5" spans="1:28" s="1" customFormat="1" ht="53.25" customHeight="1" x14ac:dyDescent="0.25">
      <c r="A5" s="454" t="s">
        <v>348</v>
      </c>
      <c r="B5" s="455"/>
      <c r="C5" s="455"/>
      <c r="D5" s="455"/>
      <c r="E5" s="455"/>
      <c r="F5" s="455"/>
      <c r="G5" s="455"/>
      <c r="H5" s="455"/>
      <c r="I5" s="455"/>
      <c r="J5" s="3"/>
      <c r="K5" s="3"/>
      <c r="L5" s="3"/>
      <c r="M5" s="3"/>
      <c r="N5" s="3"/>
    </row>
    <row r="6" spans="1:28" s="1" customFormat="1" ht="44.25" customHeight="1" x14ac:dyDescent="0.25">
      <c r="A6" s="467"/>
      <c r="B6" s="467"/>
      <c r="C6" s="467"/>
      <c r="D6" s="467"/>
      <c r="E6" s="467"/>
      <c r="F6" s="467"/>
      <c r="G6" s="21" t="s">
        <v>23</v>
      </c>
      <c r="H6" s="20"/>
      <c r="I6" s="3"/>
      <c r="J6" s="3"/>
      <c r="K6" s="3"/>
      <c r="L6" s="3"/>
      <c r="M6" s="3"/>
      <c r="N6" s="3"/>
    </row>
    <row r="7" spans="1:28" ht="44.25" customHeight="1" thickBot="1" x14ac:dyDescent="0.3">
      <c r="A7" s="456" t="s">
        <v>7</v>
      </c>
      <c r="B7" s="457"/>
      <c r="C7" s="468" t="s">
        <v>349</v>
      </c>
      <c r="D7" s="471" t="s">
        <v>341</v>
      </c>
      <c r="E7" s="472"/>
      <c r="F7" s="457"/>
      <c r="G7" s="465" t="s">
        <v>24</v>
      </c>
      <c r="H7" s="466"/>
      <c r="I7" s="473" t="s">
        <v>197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4"/>
      <c r="Z7" s="4"/>
      <c r="AA7" s="4"/>
      <c r="AB7" s="4"/>
    </row>
    <row r="8" spans="1:28" ht="67.5" customHeight="1" thickBot="1" x14ac:dyDescent="0.3">
      <c r="A8" s="458"/>
      <c r="B8" s="459"/>
      <c r="C8" s="469"/>
      <c r="D8" s="144" t="s">
        <v>352</v>
      </c>
      <c r="E8" s="287" t="s">
        <v>351</v>
      </c>
      <c r="F8" s="289" t="s">
        <v>350</v>
      </c>
      <c r="G8" s="284" t="s">
        <v>198</v>
      </c>
      <c r="H8" s="145" t="s">
        <v>199</v>
      </c>
      <c r="I8" s="47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4.95" customHeight="1" thickBot="1" x14ac:dyDescent="0.3">
      <c r="A9" s="460" t="s">
        <v>8</v>
      </c>
      <c r="B9" s="460"/>
      <c r="C9" s="147"/>
      <c r="D9" s="147"/>
      <c r="E9" s="147"/>
      <c r="F9" s="288"/>
      <c r="G9" s="148"/>
      <c r="H9" s="464"/>
      <c r="I9" s="464"/>
      <c r="J9" s="271" t="s">
        <v>545</v>
      </c>
      <c r="K9" s="272" t="s">
        <v>546</v>
      </c>
      <c r="L9" s="4" t="s">
        <v>3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9.25" customHeight="1" thickTop="1" x14ac:dyDescent="0.35">
      <c r="A10" s="470" t="s">
        <v>9</v>
      </c>
      <c r="B10" s="470"/>
      <c r="C10" s="24">
        <f>C11+C21+C22+C23</f>
        <v>1422000</v>
      </c>
      <c r="D10" s="232">
        <f>D11+D21+D22+D23</f>
        <v>688855.8</v>
      </c>
      <c r="E10" s="245">
        <f>E11+E21+E22+E23</f>
        <v>911684.78</v>
      </c>
      <c r="F10" s="235">
        <f>F11+F21+F22+F23</f>
        <v>1600540.58</v>
      </c>
      <c r="G10" s="234">
        <f t="shared" ref="G10:G37" si="0">F10-C10</f>
        <v>178540.58000000007</v>
      </c>
      <c r="H10" s="25">
        <f t="shared" ref="H10:H27" si="1">IFERROR(G10/C10*100,)</f>
        <v>12.555596343178626</v>
      </c>
      <c r="I10" s="25">
        <f>IFERROR(F10/$F$27*100,0)</f>
        <v>96.502949599219335</v>
      </c>
      <c r="J10" s="265">
        <v>1600341.9900000002</v>
      </c>
      <c r="K10" s="270">
        <v>1346329.8210159997</v>
      </c>
      <c r="L10" s="270">
        <f>J10-K10</f>
        <v>254012.16898400057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29.25" customHeight="1" x14ac:dyDescent="0.35">
      <c r="A11" s="462" t="s">
        <v>96</v>
      </c>
      <c r="B11" s="462"/>
      <c r="C11" s="24">
        <f>C12+C19+C20</f>
        <v>940785.83</v>
      </c>
      <c r="D11" s="232">
        <f>D12+D19+D20</f>
        <v>558599.25</v>
      </c>
      <c r="E11" s="245">
        <f>E12+E19+E20</f>
        <v>658605.73</v>
      </c>
      <c r="F11" s="236">
        <f>F12+F19+F20</f>
        <v>1217204.9800000002</v>
      </c>
      <c r="G11" s="234">
        <f t="shared" si="0"/>
        <v>276419.15000000026</v>
      </c>
      <c r="H11" s="25">
        <f t="shared" si="1"/>
        <v>29.381729739700724</v>
      </c>
      <c r="I11" s="25">
        <f t="shared" ref="I11:I27" si="2">IFERROR(F11/$F$27*100,0)</f>
        <v>73.390123502434903</v>
      </c>
      <c r="J11" s="265">
        <v>1217204.9800000002</v>
      </c>
      <c r="K11" s="270">
        <v>970898.79999999993</v>
      </c>
      <c r="L11" s="270">
        <f t="shared" ref="L11:L15" si="3">J11-K11</f>
        <v>246306.18000000028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9.25" customHeight="1" x14ac:dyDescent="0.35">
      <c r="A12" s="462" t="s">
        <v>10</v>
      </c>
      <c r="B12" s="462"/>
      <c r="C12" s="24">
        <f>C13+C16</f>
        <v>571585.94999999995</v>
      </c>
      <c r="D12" s="232">
        <f>D13+D16</f>
        <v>362465.42000000004</v>
      </c>
      <c r="E12" s="245">
        <f>E13+E16</f>
        <v>289383.94999999995</v>
      </c>
      <c r="F12" s="236">
        <f>F13+F16</f>
        <v>651849.37000000011</v>
      </c>
      <c r="G12" s="234">
        <f t="shared" si="0"/>
        <v>80263.420000000158</v>
      </c>
      <c r="H12" s="25">
        <f t="shared" si="1"/>
        <v>14.042231094028846</v>
      </c>
      <c r="I12" s="25">
        <f t="shared" si="2"/>
        <v>39.302587941502168</v>
      </c>
      <c r="J12" s="265">
        <v>651849.37000000011</v>
      </c>
      <c r="K12" s="270">
        <v>567134.92999999993</v>
      </c>
      <c r="L12" s="270">
        <f t="shared" si="3"/>
        <v>84714.440000000177</v>
      </c>
      <c r="M12" s="264"/>
      <c r="N12" s="264"/>
      <c r="O12" s="264"/>
      <c r="P12" s="492"/>
      <c r="Q12" s="492"/>
      <c r="R12" s="492"/>
      <c r="S12" s="492"/>
      <c r="T12" s="4"/>
      <c r="U12" s="4"/>
      <c r="V12" s="4"/>
      <c r="W12" s="4"/>
      <c r="X12" s="4"/>
      <c r="Y12" s="4"/>
      <c r="Z12" s="4"/>
      <c r="AA12" s="4"/>
      <c r="AB12" s="4"/>
    </row>
    <row r="13" spans="1:28" ht="29.25" customHeight="1" x14ac:dyDescent="0.35">
      <c r="A13" s="462" t="s">
        <v>11</v>
      </c>
      <c r="B13" s="462"/>
      <c r="C13" s="146">
        <f>SUM(C14:C15)</f>
        <v>486246.92</v>
      </c>
      <c r="D13" s="246">
        <f>SUM(D14:D15)</f>
        <v>327067.96000000002</v>
      </c>
      <c r="E13" s="247">
        <f>SUM(E14:E15)</f>
        <v>237530.36</v>
      </c>
      <c r="F13" s="237">
        <f>SUM(F14:F15)</f>
        <v>564598.32000000007</v>
      </c>
      <c r="G13" s="234">
        <f t="shared" si="0"/>
        <v>78351.400000000081</v>
      </c>
      <c r="H13" s="25">
        <f t="shared" si="1"/>
        <v>16.113500523561175</v>
      </c>
      <c r="I13" s="25">
        <f t="shared" si="2"/>
        <v>34.041875538553299</v>
      </c>
      <c r="J13" s="266">
        <v>564598.32000000007</v>
      </c>
      <c r="K13" s="270">
        <v>479883.88</v>
      </c>
      <c r="L13" s="270">
        <f t="shared" si="3"/>
        <v>84714.440000000061</v>
      </c>
      <c r="M13" s="264"/>
      <c r="N13" s="264"/>
      <c r="O13" s="264"/>
      <c r="P13" s="492"/>
      <c r="Q13" s="492"/>
      <c r="R13" s="492"/>
      <c r="S13" s="492"/>
      <c r="T13" s="4"/>
      <c r="U13" s="4"/>
      <c r="V13" s="4"/>
      <c r="W13" s="4"/>
      <c r="X13" s="4"/>
      <c r="Y13" s="4"/>
      <c r="Z13" s="4"/>
      <c r="AA13" s="4"/>
      <c r="AB13" s="4"/>
    </row>
    <row r="14" spans="1:28" ht="29.25" customHeight="1" x14ac:dyDescent="0.35">
      <c r="A14" s="463" t="s">
        <v>353</v>
      </c>
      <c r="B14" s="463"/>
      <c r="C14" s="26">
        <v>330429.98</v>
      </c>
      <c r="D14" s="248">
        <v>234926.98</v>
      </c>
      <c r="E14" s="282">
        <v>148847.35</v>
      </c>
      <c r="F14" s="285">
        <f>SUM(D14:E14)</f>
        <v>383774.33</v>
      </c>
      <c r="G14" s="234">
        <f t="shared" si="0"/>
        <v>53344.350000000035</v>
      </c>
      <c r="H14" s="25">
        <f t="shared" si="1"/>
        <v>16.143919507545906</v>
      </c>
      <c r="I14" s="25">
        <f t="shared" si="2"/>
        <v>23.139278871307447</v>
      </c>
      <c r="J14" s="267">
        <v>383774.33</v>
      </c>
      <c r="K14" s="270">
        <v>324066.94</v>
      </c>
      <c r="L14" s="273">
        <f t="shared" si="3"/>
        <v>59707.390000000014</v>
      </c>
      <c r="M14" s="261" t="s">
        <v>547</v>
      </c>
      <c r="N14" s="261"/>
      <c r="O14" s="261"/>
      <c r="P14" s="34"/>
      <c r="Q14" s="34"/>
      <c r="R14" s="34"/>
      <c r="S14" s="34"/>
      <c r="T14" s="4"/>
      <c r="U14" s="4"/>
      <c r="V14" s="4"/>
      <c r="W14" s="4"/>
      <c r="X14" s="4"/>
      <c r="Y14" s="4"/>
      <c r="Z14" s="4"/>
      <c r="AA14" s="4"/>
      <c r="AB14" s="4"/>
    </row>
    <row r="15" spans="1:28" ht="29.25" customHeight="1" x14ac:dyDescent="0.35">
      <c r="A15" s="463" t="s">
        <v>93</v>
      </c>
      <c r="B15" s="463"/>
      <c r="C15" s="26">
        <v>155816.94</v>
      </c>
      <c r="D15" s="248">
        <v>92140.98</v>
      </c>
      <c r="E15" s="282">
        <v>88683.01</v>
      </c>
      <c r="F15" s="285">
        <f>SUM(D15:E15)</f>
        <v>180823.99</v>
      </c>
      <c r="G15" s="234">
        <f t="shared" si="0"/>
        <v>25007.049999999988</v>
      </c>
      <c r="H15" s="25">
        <f t="shared" si="1"/>
        <v>16.048993132582368</v>
      </c>
      <c r="I15" s="25">
        <f t="shared" si="2"/>
        <v>10.902596667245849</v>
      </c>
      <c r="J15" s="267">
        <v>180823.99</v>
      </c>
      <c r="K15" s="270">
        <v>155816.94</v>
      </c>
      <c r="L15" s="273">
        <f t="shared" si="3"/>
        <v>25007.049999999988</v>
      </c>
      <c r="M15" s="263" t="s">
        <v>547</v>
      </c>
      <c r="N15" s="261"/>
      <c r="O15" s="261"/>
      <c r="P15" s="34"/>
      <c r="Q15" s="34"/>
      <c r="R15" s="34"/>
      <c r="S15" s="34"/>
      <c r="T15" s="4"/>
      <c r="U15" s="4"/>
      <c r="V15" s="4"/>
      <c r="W15" s="4"/>
      <c r="X15" s="4"/>
      <c r="Y15" s="4"/>
      <c r="Z15" s="4"/>
      <c r="AA15" s="4"/>
      <c r="AB15" s="4"/>
    </row>
    <row r="16" spans="1:28" ht="29.25" customHeight="1" x14ac:dyDescent="0.35">
      <c r="A16" s="462" t="s">
        <v>12</v>
      </c>
      <c r="B16" s="462"/>
      <c r="C16" s="75">
        <f>SUM(C17:C18)</f>
        <v>85339.03</v>
      </c>
      <c r="D16" s="249">
        <f>SUM(D17:D18)</f>
        <v>35397.46</v>
      </c>
      <c r="E16" s="250">
        <f>SUM(E17:E18)</f>
        <v>51853.59</v>
      </c>
      <c r="F16" s="239">
        <f>SUM(F17:F18)</f>
        <v>87251.049999999988</v>
      </c>
      <c r="G16" s="234">
        <f t="shared" si="0"/>
        <v>1912.0199999999895</v>
      </c>
      <c r="H16" s="25">
        <f t="shared" si="1"/>
        <v>2.2404988666967385</v>
      </c>
      <c r="I16" s="25">
        <f t="shared" si="2"/>
        <v>5.2607124029488617</v>
      </c>
      <c r="J16" s="266">
        <v>87251.049999999988</v>
      </c>
      <c r="K16" s="270">
        <v>87251.049999999988</v>
      </c>
      <c r="L16" s="4" t="b">
        <f t="shared" ref="L16:L26" si="4">J16=K16</f>
        <v>1</v>
      </c>
      <c r="M16" s="78"/>
      <c r="N16" s="78"/>
      <c r="O16" s="78"/>
    </row>
    <row r="17" spans="1:15" ht="29.25" customHeight="1" x14ac:dyDescent="0.35">
      <c r="A17" s="463" t="s">
        <v>354</v>
      </c>
      <c r="B17" s="463"/>
      <c r="C17" s="27">
        <v>47421.75</v>
      </c>
      <c r="D17" s="251">
        <v>15565.71</v>
      </c>
      <c r="E17" s="252">
        <v>33768.06</v>
      </c>
      <c r="F17" s="283">
        <f t="shared" ref="F17:F23" si="5">SUM(D17:E17)</f>
        <v>49333.77</v>
      </c>
      <c r="G17" s="234">
        <f t="shared" si="0"/>
        <v>1912.0199999999968</v>
      </c>
      <c r="H17" s="25">
        <f t="shared" si="1"/>
        <v>4.0319473659238572</v>
      </c>
      <c r="I17" s="25">
        <f t="shared" si="2"/>
        <v>2.9745289681124349</v>
      </c>
      <c r="J17" s="267">
        <v>49333.77</v>
      </c>
      <c r="K17" s="270">
        <v>49333.77</v>
      </c>
      <c r="L17" s="4" t="b">
        <f t="shared" si="4"/>
        <v>1</v>
      </c>
      <c r="M17" s="78"/>
      <c r="N17" s="78"/>
      <c r="O17" s="78"/>
    </row>
    <row r="18" spans="1:15" ht="29.25" customHeight="1" x14ac:dyDescent="0.35">
      <c r="A18" s="463" t="s">
        <v>94</v>
      </c>
      <c r="B18" s="463"/>
      <c r="C18" s="27">
        <v>37917.279999999999</v>
      </c>
      <c r="D18" s="251">
        <v>19831.75</v>
      </c>
      <c r="E18" s="262">
        <v>18085.53</v>
      </c>
      <c r="F18" s="283">
        <f t="shared" si="5"/>
        <v>37917.279999999999</v>
      </c>
      <c r="G18" s="234">
        <f t="shared" si="0"/>
        <v>0</v>
      </c>
      <c r="H18" s="25">
        <f t="shared" si="1"/>
        <v>0</v>
      </c>
      <c r="I18" s="25">
        <f t="shared" si="2"/>
        <v>2.2861834348364267</v>
      </c>
      <c r="J18" s="267">
        <v>37917.279999999999</v>
      </c>
      <c r="K18" s="270">
        <v>37917.279999999999</v>
      </c>
      <c r="L18" s="4" t="b">
        <f t="shared" si="4"/>
        <v>1</v>
      </c>
      <c r="M18" s="78"/>
      <c r="N18" s="78"/>
      <c r="O18" s="78"/>
    </row>
    <row r="19" spans="1:15" ht="29.25" customHeight="1" x14ac:dyDescent="0.35">
      <c r="A19" s="461" t="s">
        <v>80</v>
      </c>
      <c r="B19" s="461"/>
      <c r="C19" s="29">
        <v>334880</v>
      </c>
      <c r="D19" s="253">
        <v>165335.74</v>
      </c>
      <c r="E19" s="281">
        <v>354988.08</v>
      </c>
      <c r="F19" s="285">
        <f t="shared" si="5"/>
        <v>520323.82</v>
      </c>
      <c r="G19" s="234">
        <f t="shared" si="0"/>
        <v>185443.82</v>
      </c>
      <c r="H19" s="25">
        <f t="shared" si="1"/>
        <v>55.376200430004786</v>
      </c>
      <c r="I19" s="25">
        <f t="shared" si="2"/>
        <v>31.372390056322892</v>
      </c>
      <c r="J19" s="265">
        <v>520323.82</v>
      </c>
      <c r="K19" s="270">
        <v>358732.07999999996</v>
      </c>
      <c r="L19" s="270">
        <f t="shared" ref="L19:L22" si="6">J19-K19</f>
        <v>161591.74000000005</v>
      </c>
      <c r="M19" s="263" t="s">
        <v>547</v>
      </c>
      <c r="N19" s="78"/>
      <c r="O19" s="78"/>
    </row>
    <row r="20" spans="1:15" ht="29.25" customHeight="1" x14ac:dyDescent="0.35">
      <c r="A20" s="461" t="s">
        <v>63</v>
      </c>
      <c r="B20" s="461"/>
      <c r="C20" s="29">
        <v>34319.879999999997</v>
      </c>
      <c r="D20" s="253">
        <v>30798.09</v>
      </c>
      <c r="E20" s="254">
        <f>45031.79-D20</f>
        <v>14233.7</v>
      </c>
      <c r="F20" s="283">
        <f t="shared" si="5"/>
        <v>45031.79</v>
      </c>
      <c r="G20" s="234">
        <f t="shared" si="0"/>
        <v>10711.910000000003</v>
      </c>
      <c r="H20" s="25">
        <f t="shared" si="1"/>
        <v>31.211968107114608</v>
      </c>
      <c r="I20" s="25">
        <f t="shared" si="2"/>
        <v>2.7151455046098416</v>
      </c>
      <c r="J20" s="268">
        <v>45031.79</v>
      </c>
      <c r="K20" s="270">
        <v>45031.79</v>
      </c>
      <c r="L20" s="4" t="b">
        <f t="shared" si="4"/>
        <v>1</v>
      </c>
      <c r="M20" s="6"/>
      <c r="N20" s="78"/>
      <c r="O20" s="78"/>
    </row>
    <row r="21" spans="1:15" ht="29.25" customHeight="1" x14ac:dyDescent="0.35">
      <c r="A21" s="461" t="s">
        <v>13</v>
      </c>
      <c r="B21" s="461"/>
      <c r="C21" s="29">
        <v>12486.59</v>
      </c>
      <c r="D21" s="253">
        <f>7109.96+517.55</f>
        <v>7627.51</v>
      </c>
      <c r="E21" s="281">
        <v>12000</v>
      </c>
      <c r="F21" s="238">
        <f t="shared" si="5"/>
        <v>19627.510000000002</v>
      </c>
      <c r="G21" s="234">
        <f t="shared" si="0"/>
        <v>7140.9200000000019</v>
      </c>
      <c r="H21" s="25">
        <f t="shared" si="1"/>
        <v>57.188712050287563</v>
      </c>
      <c r="I21" s="25">
        <f t="shared" si="2"/>
        <v>1.1834205467556302</v>
      </c>
      <c r="J21" s="265">
        <v>19627.510000000002</v>
      </c>
      <c r="K21" s="274"/>
      <c r="L21" s="270"/>
      <c r="M21" s="78"/>
      <c r="N21" s="78"/>
      <c r="O21" s="78"/>
    </row>
    <row r="22" spans="1:15" ht="29.25" customHeight="1" x14ac:dyDescent="0.35">
      <c r="A22" s="461" t="s">
        <v>184</v>
      </c>
      <c r="B22" s="461"/>
      <c r="C22" s="30">
        <v>2306.73</v>
      </c>
      <c r="D22" s="255">
        <f>1163.34+822.7+303.43</f>
        <v>2289.4699999999998</v>
      </c>
      <c r="E22" s="256">
        <f>2980.38-D22+198.59</f>
        <v>889.50000000000034</v>
      </c>
      <c r="F22" s="238">
        <f t="shared" si="5"/>
        <v>3178.9700000000003</v>
      </c>
      <c r="G22" s="234">
        <f t="shared" si="0"/>
        <v>872.24000000000024</v>
      </c>
      <c r="H22" s="25">
        <f t="shared" si="1"/>
        <v>37.812834618702674</v>
      </c>
      <c r="I22" s="25">
        <f t="shared" si="2"/>
        <v>0.19167272952706407</v>
      </c>
      <c r="J22" s="265">
        <v>2980.38</v>
      </c>
      <c r="K22" s="270">
        <f>'[2]XIII. TAXAS BANCÁRIAS'!$D$17+'[2]ANEXO XI.II Enc de Contas'!$D$16</f>
        <v>3178.9686801628645</v>
      </c>
      <c r="L22" s="275">
        <f t="shared" si="6"/>
        <v>-198.58868016286442</v>
      </c>
      <c r="M22" s="78" t="s">
        <v>549</v>
      </c>
      <c r="N22" s="78"/>
      <c r="O22" s="78"/>
    </row>
    <row r="23" spans="1:15" ht="29.25" customHeight="1" x14ac:dyDescent="0.35">
      <c r="A23" s="461" t="s">
        <v>14</v>
      </c>
      <c r="B23" s="461"/>
      <c r="C23" s="30">
        <v>466420.85</v>
      </c>
      <c r="D23" s="255">
        <v>120339.57</v>
      </c>
      <c r="E23" s="256">
        <f>360529.12-D23</f>
        <v>240189.55</v>
      </c>
      <c r="F23" s="238">
        <f t="shared" si="5"/>
        <v>360529.12</v>
      </c>
      <c r="G23" s="234">
        <f t="shared" si="0"/>
        <v>-105891.72999999998</v>
      </c>
      <c r="H23" s="25">
        <f t="shared" si="1"/>
        <v>-22.703043828336572</v>
      </c>
      <c r="I23" s="25">
        <f t="shared" si="2"/>
        <v>21.737732820501744</v>
      </c>
      <c r="J23" s="265">
        <v>360529.12</v>
      </c>
      <c r="K23" s="270">
        <v>360529.12</v>
      </c>
      <c r="L23" s="270" t="b">
        <f>J23=K23</f>
        <v>1</v>
      </c>
      <c r="M23" s="78"/>
      <c r="N23" s="78"/>
      <c r="O23" s="78"/>
    </row>
    <row r="24" spans="1:15" ht="29.25" customHeight="1" x14ac:dyDescent="0.35">
      <c r="A24" s="470" t="s">
        <v>15</v>
      </c>
      <c r="B24" s="470"/>
      <c r="C24" s="24">
        <f>SUM(C25:C26)</f>
        <v>0</v>
      </c>
      <c r="D24" s="232">
        <f>SUM(D25:D26)</f>
        <v>0</v>
      </c>
      <c r="E24" s="245">
        <f>SUM(E25:E26)</f>
        <v>58000</v>
      </c>
      <c r="F24" s="236">
        <f>SUM(F25:F26)</f>
        <v>58000</v>
      </c>
      <c r="G24" s="234">
        <f t="shared" si="0"/>
        <v>58000</v>
      </c>
      <c r="H24" s="25">
        <f t="shared" si="1"/>
        <v>0</v>
      </c>
      <c r="I24" s="25">
        <f t="shared" si="2"/>
        <v>3.4970504007806671</v>
      </c>
      <c r="J24" s="265">
        <v>55000</v>
      </c>
      <c r="K24" s="270">
        <f>F24</f>
        <v>58000</v>
      </c>
      <c r="L24" s="270" t="b">
        <f>J24=K24</f>
        <v>0</v>
      </c>
      <c r="M24" s="78"/>
      <c r="N24" s="78"/>
      <c r="O24" s="78"/>
    </row>
    <row r="25" spans="1:15" ht="23.25" x14ac:dyDescent="0.35">
      <c r="A25" s="461" t="s">
        <v>16</v>
      </c>
      <c r="B25" s="461"/>
      <c r="C25" s="30">
        <v>0</v>
      </c>
      <c r="D25" s="256">
        <v>0</v>
      </c>
      <c r="E25" s="286">
        <f>'Anexo 4.Quadro Descritivo.'!F40+'Anexo 4.Quadro Descritivo.'!F41</f>
        <v>58000</v>
      </c>
      <c r="F25" s="238">
        <f>SUM(D25:E25)</f>
        <v>58000</v>
      </c>
      <c r="G25" s="234">
        <f>E25-C25</f>
        <v>58000</v>
      </c>
      <c r="H25" s="25">
        <f t="shared" si="1"/>
        <v>0</v>
      </c>
      <c r="I25" s="25">
        <f>IFERROR(E25/$F$27*100,0)</f>
        <v>3.4970504007806671</v>
      </c>
      <c r="J25" s="265">
        <v>55000</v>
      </c>
      <c r="K25" s="270">
        <f>F25</f>
        <v>58000</v>
      </c>
      <c r="L25" s="270" t="b">
        <f>J25=K25</f>
        <v>0</v>
      </c>
      <c r="M25" s="78"/>
      <c r="N25" s="78"/>
      <c r="O25" s="78"/>
    </row>
    <row r="26" spans="1:15" ht="29.25" customHeight="1" x14ac:dyDescent="0.35">
      <c r="A26" s="461" t="s">
        <v>183</v>
      </c>
      <c r="B26" s="461"/>
      <c r="C26" s="30">
        <v>0</v>
      </c>
      <c r="D26" s="255">
        <v>0</v>
      </c>
      <c r="E26" s="256"/>
      <c r="F26" s="238">
        <f>SUM(D26:E26)</f>
        <v>0</v>
      </c>
      <c r="G26" s="234">
        <f t="shared" si="0"/>
        <v>0</v>
      </c>
      <c r="H26" s="25">
        <f t="shared" si="1"/>
        <v>0</v>
      </c>
      <c r="I26" s="25">
        <f t="shared" si="2"/>
        <v>0</v>
      </c>
      <c r="J26" s="265">
        <v>0</v>
      </c>
      <c r="K26" s="270"/>
      <c r="L26" s="4" t="b">
        <f t="shared" si="4"/>
        <v>1</v>
      </c>
      <c r="M26" s="78"/>
      <c r="N26" s="78"/>
      <c r="O26" s="78"/>
    </row>
    <row r="27" spans="1:15" ht="24.95" customHeight="1" thickBot="1" x14ac:dyDescent="0.4">
      <c r="A27" s="470" t="s">
        <v>17</v>
      </c>
      <c r="B27" s="470"/>
      <c r="C27" s="24">
        <f>SUM(C10,C24)</f>
        <v>1422000</v>
      </c>
      <c r="D27" s="232">
        <f>SUM(D10,D24)</f>
        <v>688855.8</v>
      </c>
      <c r="E27" s="245">
        <f>SUM(E10,E24)</f>
        <v>969684.78</v>
      </c>
      <c r="F27" s="240">
        <f>SUM(F10,F24)</f>
        <v>1658540.58</v>
      </c>
      <c r="G27" s="234">
        <f t="shared" si="0"/>
        <v>236540.58000000007</v>
      </c>
      <c r="H27" s="25">
        <f t="shared" si="1"/>
        <v>16.634358649789036</v>
      </c>
      <c r="I27" s="25">
        <f t="shared" si="2"/>
        <v>100</v>
      </c>
      <c r="J27" s="265">
        <v>1655341.9900000002</v>
      </c>
      <c r="K27" s="240" t="s">
        <v>548</v>
      </c>
      <c r="L27" s="270"/>
      <c r="M27" s="78"/>
      <c r="N27" s="78"/>
      <c r="O27" s="78"/>
    </row>
    <row r="28" spans="1:15" ht="24.95" customHeight="1" thickTop="1" thickBot="1" x14ac:dyDescent="0.4">
      <c r="A28" s="460" t="s">
        <v>355</v>
      </c>
      <c r="B28" s="460"/>
      <c r="C28" s="149"/>
      <c r="D28" s="257"/>
      <c r="E28" s="257"/>
      <c r="F28" s="241"/>
      <c r="G28" s="150">
        <f t="shared" si="0"/>
        <v>0</v>
      </c>
      <c r="H28" s="460"/>
      <c r="I28" s="460"/>
      <c r="J28" s="265"/>
      <c r="K28" s="4"/>
      <c r="L28" s="78"/>
      <c r="M28" s="78"/>
      <c r="N28" s="78"/>
      <c r="O28" s="78"/>
    </row>
    <row r="29" spans="1:15" ht="24.95" customHeight="1" thickTop="1" x14ac:dyDescent="0.35">
      <c r="A29" s="462" t="s">
        <v>18</v>
      </c>
      <c r="B29" s="462"/>
      <c r="C29" s="24">
        <f>SUM(C30:C32)</f>
        <v>1337871.8699999999</v>
      </c>
      <c r="D29" s="232">
        <f>SUM(D30:D32)</f>
        <v>448348.19</v>
      </c>
      <c r="E29" s="245">
        <f>SUM(E30:E32)</f>
        <v>1105476.92</v>
      </c>
      <c r="F29" s="235">
        <f>SUM(F30:F32)</f>
        <v>1553825.11</v>
      </c>
      <c r="G29" s="234">
        <f t="shared" si="0"/>
        <v>215953.24000000022</v>
      </c>
      <c r="H29" s="25">
        <f t="shared" ref="H29:H36" si="7">IFERROR(G29/C29*100,)</f>
        <v>16.14154874188365</v>
      </c>
      <c r="I29" s="25">
        <f t="shared" ref="I29:I36" si="8">IFERROR(F29/$F$36*100,0)</f>
        <v>93.686288339113176</v>
      </c>
      <c r="J29" s="265">
        <v>827809.41</v>
      </c>
      <c r="K29" s="4"/>
      <c r="L29" s="78"/>
      <c r="M29" s="78"/>
      <c r="N29" s="78"/>
      <c r="O29" s="78"/>
    </row>
    <row r="30" spans="1:15" ht="24.95" customHeight="1" x14ac:dyDescent="0.35">
      <c r="A30" s="461" t="s">
        <v>19</v>
      </c>
      <c r="B30" s="461"/>
      <c r="C30" s="91">
        <f>SUMIF('Quadro Geral'!B9:B22,"p",'Quadro Geral'!J9:J22)</f>
        <v>72600</v>
      </c>
      <c r="D30" s="258">
        <f>SUMIF('Quadro Geral'!B9:B22,"p",'Quadro Geral'!K9:K22)</f>
        <v>340</v>
      </c>
      <c r="E30" s="259">
        <f>SUMIF('Quadro Geral'!B9:B22,"p",'Quadro Geral'!L9:L22)</f>
        <v>144660</v>
      </c>
      <c r="F30" s="243">
        <f>D30+E30</f>
        <v>145000</v>
      </c>
      <c r="G30" s="234">
        <f t="shared" si="0"/>
        <v>72400</v>
      </c>
      <c r="H30" s="25">
        <f t="shared" si="7"/>
        <v>99.724517906336089</v>
      </c>
      <c r="I30" s="25">
        <f t="shared" si="8"/>
        <v>8.7426260019516668</v>
      </c>
      <c r="J30" s="265">
        <v>80340</v>
      </c>
      <c r="K30" s="4"/>
      <c r="L30" s="78"/>
      <c r="M30" s="78"/>
      <c r="N30" s="78"/>
      <c r="O30" s="78"/>
    </row>
    <row r="31" spans="1:15" s="78" customFormat="1" ht="24.95" customHeight="1" x14ac:dyDescent="0.35">
      <c r="A31" s="488" t="s">
        <v>208</v>
      </c>
      <c r="B31" s="489"/>
      <c r="C31" s="91">
        <f>SUMIF('Quadro Geral'!B9:B23,"pe",'Quadro Geral'!J9:J23)</f>
        <v>0</v>
      </c>
      <c r="D31" s="258">
        <f>SUMIF('Quadro Geral'!B9:B23,"pe",'Quadro Geral'!K9:K23)</f>
        <v>0</v>
      </c>
      <c r="E31" s="259">
        <f>SUMIF('Quadro Geral'!B9:B23,"pe",'Quadro Geral'!L9:L23)</f>
        <v>0</v>
      </c>
      <c r="F31" s="243">
        <f>D31+E31</f>
        <v>0</v>
      </c>
      <c r="G31" s="234">
        <f t="shared" si="0"/>
        <v>0</v>
      </c>
      <c r="H31" s="25">
        <f t="shared" si="7"/>
        <v>0</v>
      </c>
      <c r="I31" s="25">
        <f t="shared" si="8"/>
        <v>0</v>
      </c>
      <c r="J31" s="265">
        <v>0</v>
      </c>
      <c r="K31" s="4"/>
    </row>
    <row r="32" spans="1:15" ht="24.95" customHeight="1" x14ac:dyDescent="0.25">
      <c r="A32" s="461" t="s">
        <v>69</v>
      </c>
      <c r="B32" s="461"/>
      <c r="C32" s="91">
        <f>SUMIF('Quadro Geral'!B9:B24,"a",'Quadro Geral'!J9:J24)-C33-C34-C35</f>
        <v>1265271.8699999999</v>
      </c>
      <c r="D32" s="258">
        <f>SUMIF('Quadro Geral'!B9:B24,"a",'Quadro Geral'!K9:K24)-D33-D34-D35</f>
        <v>448008.19</v>
      </c>
      <c r="E32" s="259">
        <f>SUMIF('Quadro Geral'!B9:B24,"a",'Quadro Geral'!L9:L24)-E33-E34-E35</f>
        <v>960816.92</v>
      </c>
      <c r="F32" s="243">
        <f>D32+E32</f>
        <v>1408825.11</v>
      </c>
      <c r="G32" s="234">
        <f t="shared" si="0"/>
        <v>143553.24000000022</v>
      </c>
      <c r="H32" s="25">
        <f t="shared" si="7"/>
        <v>11.345643841746062</v>
      </c>
      <c r="I32" s="25">
        <f>IFERROR(F32/$F$36*100,0)</f>
        <v>84.943662337161513</v>
      </c>
      <c r="J32" s="269">
        <v>747469.41</v>
      </c>
      <c r="K32" s="4"/>
      <c r="L32" s="165"/>
      <c r="M32" s="165"/>
      <c r="N32" s="165"/>
      <c r="O32" s="165"/>
    </row>
    <row r="33" spans="1:15" ht="24.95" customHeight="1" x14ac:dyDescent="0.35">
      <c r="A33" s="461" t="s">
        <v>20</v>
      </c>
      <c r="B33" s="461"/>
      <c r="C33" s="29">
        <v>21343.51</v>
      </c>
      <c r="D33" s="253">
        <v>8893.15</v>
      </c>
      <c r="E33" s="254">
        <f>'Quadro Geral'!L9</f>
        <v>9777.6400000000012</v>
      </c>
      <c r="F33" s="238">
        <f>SUM(D33:E33)</f>
        <v>18670.79</v>
      </c>
      <c r="G33" s="234">
        <f t="shared" si="0"/>
        <v>-2672.7199999999975</v>
      </c>
      <c r="H33" s="25">
        <f t="shared" si="7"/>
        <v>-12.522401423196081</v>
      </c>
      <c r="I33" s="25">
        <f t="shared" si="8"/>
        <v>1.1257360974550288</v>
      </c>
      <c r="J33" s="265">
        <v>18670.79</v>
      </c>
      <c r="K33" s="265">
        <v>18670.79</v>
      </c>
      <c r="L33" s="78" t="b">
        <f>J33=K33</f>
        <v>1</v>
      </c>
      <c r="M33" s="78"/>
      <c r="N33" s="78"/>
      <c r="O33" s="78"/>
    </row>
    <row r="34" spans="1:15" ht="24.95" customHeight="1" x14ac:dyDescent="0.35">
      <c r="A34" s="461" t="s">
        <v>68</v>
      </c>
      <c r="B34" s="461"/>
      <c r="C34" s="29">
        <v>52784.62</v>
      </c>
      <c r="D34" s="253">
        <v>21993.599999999999</v>
      </c>
      <c r="E34" s="254">
        <f>'Quadro Geral'!L10+'Quadro Geral'!L11</f>
        <v>44051.079999999994</v>
      </c>
      <c r="F34" s="238">
        <f>SUM(D34:E34)</f>
        <v>66044.679999999993</v>
      </c>
      <c r="G34" s="234">
        <f t="shared" si="0"/>
        <v>13260.05999999999</v>
      </c>
      <c r="H34" s="25">
        <f t="shared" si="7"/>
        <v>25.121067462454004</v>
      </c>
      <c r="I34" s="25">
        <f t="shared" si="8"/>
        <v>3.9820961148867391</v>
      </c>
      <c r="J34" s="265">
        <v>66044.679999999993</v>
      </c>
      <c r="K34" s="265">
        <v>66044.679999999993</v>
      </c>
      <c r="L34" s="78" t="b">
        <f>J34=K34</f>
        <v>1</v>
      </c>
      <c r="M34" s="78"/>
      <c r="N34" s="78"/>
      <c r="O34" s="78"/>
    </row>
    <row r="35" spans="1:15" ht="24.95" customHeight="1" x14ac:dyDescent="0.35">
      <c r="A35" s="461" t="s">
        <v>25</v>
      </c>
      <c r="B35" s="461"/>
      <c r="C35" s="29">
        <v>10000</v>
      </c>
      <c r="D35" s="253">
        <v>0</v>
      </c>
      <c r="E35" s="254">
        <f>'Quadro Geral'!L12</f>
        <v>20000</v>
      </c>
      <c r="F35" s="238">
        <f>SUM(D35:E35)</f>
        <v>20000</v>
      </c>
      <c r="G35" s="234">
        <f t="shared" si="0"/>
        <v>10000</v>
      </c>
      <c r="H35" s="25">
        <f t="shared" si="7"/>
        <v>100</v>
      </c>
      <c r="I35" s="25">
        <f t="shared" si="8"/>
        <v>1.2058794485450575</v>
      </c>
      <c r="J35" s="265">
        <v>10000</v>
      </c>
      <c r="K35" s="4"/>
      <c r="L35" s="78"/>
      <c r="M35" s="78"/>
      <c r="N35" s="78"/>
      <c r="O35" s="78"/>
    </row>
    <row r="36" spans="1:15" ht="24.75" customHeight="1" thickBot="1" x14ac:dyDescent="0.4">
      <c r="A36" s="470" t="s">
        <v>21</v>
      </c>
      <c r="B36" s="470"/>
      <c r="C36" s="24">
        <f>SUM(C29,C33:C35)</f>
        <v>1422000</v>
      </c>
      <c r="D36" s="232">
        <f>SUM(D29,D33:D35)</f>
        <v>479234.94</v>
      </c>
      <c r="E36" s="245">
        <f>SUM(E29,E33:E35)</f>
        <v>1179305.6399999999</v>
      </c>
      <c r="F36" s="240">
        <f>SUM(F29,F33:F35)</f>
        <v>1658540.58</v>
      </c>
      <c r="G36" s="234">
        <f t="shared" si="0"/>
        <v>236540.58000000007</v>
      </c>
      <c r="H36" s="25">
        <f t="shared" si="7"/>
        <v>16.634358649789036</v>
      </c>
      <c r="I36" s="25">
        <f t="shared" si="8"/>
        <v>100</v>
      </c>
      <c r="J36" s="265">
        <v>922524.88000000012</v>
      </c>
      <c r="K36" s="4"/>
      <c r="L36" s="78"/>
      <c r="M36" s="78"/>
      <c r="N36" s="78"/>
      <c r="O36" s="78"/>
    </row>
    <row r="37" spans="1:15" ht="24.95" customHeight="1" thickTop="1" x14ac:dyDescent="0.35">
      <c r="A37" s="461" t="s">
        <v>22</v>
      </c>
      <c r="B37" s="461"/>
      <c r="C37" s="31">
        <f>C27-C36</f>
        <v>0</v>
      </c>
      <c r="D37" s="260">
        <f>D27-D36</f>
        <v>209620.86000000004</v>
      </c>
      <c r="E37" s="260">
        <f>E27-E36</f>
        <v>-209620.85999999987</v>
      </c>
      <c r="F37" s="242">
        <f>F27-F36</f>
        <v>0</v>
      </c>
      <c r="G37" s="31">
        <f t="shared" si="0"/>
        <v>0</v>
      </c>
      <c r="H37" s="32"/>
      <c r="I37" s="32"/>
      <c r="J37" s="265">
        <v>732817.1100000001</v>
      </c>
      <c r="K37" s="4"/>
      <c r="L37" s="78"/>
      <c r="M37" s="78"/>
      <c r="N37" s="78"/>
      <c r="O37" s="78"/>
    </row>
    <row r="38" spans="1:15" ht="33" customHeight="1" x14ac:dyDescent="0.25">
      <c r="A38" s="485"/>
      <c r="B38" s="486"/>
      <c r="C38" s="486"/>
      <c r="D38" s="486"/>
      <c r="E38" s="486"/>
      <c r="F38" s="486"/>
      <c r="G38" s="486"/>
      <c r="H38" s="486"/>
      <c r="I38" s="487"/>
      <c r="J38" s="78"/>
      <c r="K38" s="4"/>
      <c r="L38" s="78"/>
      <c r="M38" s="78"/>
      <c r="N38" s="78"/>
      <c r="O38" s="78"/>
    </row>
    <row r="39" spans="1:15" ht="42" hidden="1" customHeight="1" x14ac:dyDescent="0.25">
      <c r="A39" s="90"/>
      <c r="B39" s="90"/>
      <c r="C39" s="151" t="b">
        <f>C36=C27</f>
        <v>1</v>
      </c>
      <c r="D39" s="151" t="b">
        <f t="shared" ref="D39:F39" si="9">D36=D27</f>
        <v>0</v>
      </c>
      <c r="E39" s="151" t="b">
        <f>E36=E27</f>
        <v>0</v>
      </c>
      <c r="F39" s="151" t="b">
        <f t="shared" si="9"/>
        <v>1</v>
      </c>
      <c r="G39" s="90"/>
      <c r="H39" s="83"/>
      <c r="I39" s="83"/>
    </row>
    <row r="40" spans="1:15" ht="31.5" customHeight="1" x14ac:dyDescent="0.25">
      <c r="A40" s="490" t="s">
        <v>356</v>
      </c>
      <c r="B40" s="491"/>
      <c r="C40" s="491"/>
      <c r="D40" s="491"/>
      <c r="E40" s="491"/>
      <c r="F40" s="491"/>
      <c r="G40" s="491"/>
      <c r="H40" s="4"/>
      <c r="I40" s="4"/>
    </row>
    <row r="41" spans="1:15" ht="24.75" customHeight="1" x14ac:dyDescent="0.25">
      <c r="A41" s="478" t="s">
        <v>84</v>
      </c>
      <c r="B41" s="482" t="s">
        <v>87</v>
      </c>
      <c r="C41" s="483"/>
      <c r="D41" s="484"/>
      <c r="E41" s="482" t="s">
        <v>88</v>
      </c>
      <c r="F41" s="483"/>
      <c r="G41" s="484"/>
    </row>
    <row r="42" spans="1:15" ht="72.75" customHeight="1" x14ac:dyDescent="0.25">
      <c r="A42" s="479"/>
      <c r="B42" s="154" t="s">
        <v>357</v>
      </c>
      <c r="C42" s="154" t="s">
        <v>358</v>
      </c>
      <c r="D42" s="154" t="s">
        <v>89</v>
      </c>
      <c r="E42" s="154" t="s">
        <v>359</v>
      </c>
      <c r="F42" s="154" t="s">
        <v>360</v>
      </c>
      <c r="G42" s="154" t="s">
        <v>220</v>
      </c>
    </row>
    <row r="43" spans="1:15" ht="33.75" customHeight="1" x14ac:dyDescent="0.25">
      <c r="A43" s="28" t="s">
        <v>85</v>
      </c>
      <c r="B43" s="44">
        <f>C10</f>
        <v>1422000</v>
      </c>
      <c r="C43" s="44">
        <f>F10</f>
        <v>1600540.58</v>
      </c>
      <c r="D43" s="38">
        <f>(IFERROR(C43/B43*100-100,0))</f>
        <v>12.555596343178621</v>
      </c>
      <c r="E43" s="31">
        <v>1422000</v>
      </c>
      <c r="F43" s="44">
        <f>'Anexo 3. Elemento de Despesas'!O21</f>
        <v>1600540.58</v>
      </c>
      <c r="G43" s="38">
        <f>(IFERROR(F43/E43*100-100,0))</f>
        <v>12.555596343178621</v>
      </c>
    </row>
    <row r="44" spans="1:15" ht="33.75" customHeight="1" x14ac:dyDescent="0.25">
      <c r="A44" s="28" t="s">
        <v>86</v>
      </c>
      <c r="B44" s="44">
        <f>C24</f>
        <v>0</v>
      </c>
      <c r="C44" s="44">
        <f>F24</f>
        <v>58000</v>
      </c>
      <c r="D44" s="38">
        <f>(IFERROR(C44/B44*100-100,0))</f>
        <v>0</v>
      </c>
      <c r="E44" s="31">
        <v>0</v>
      </c>
      <c r="F44" s="44">
        <f>'Anexo 3. Elemento de Despesas'!P21</f>
        <v>58000</v>
      </c>
      <c r="G44" s="38">
        <f>(IFERROR(F44/E44*100-100,0))</f>
        <v>0</v>
      </c>
    </row>
    <row r="45" spans="1:15" ht="27.75" customHeight="1" x14ac:dyDescent="0.25">
      <c r="A45" s="152" t="s">
        <v>0</v>
      </c>
      <c r="B45" s="153">
        <f>SUM(B43:B44)</f>
        <v>1422000</v>
      </c>
      <c r="C45" s="153">
        <f t="shared" ref="C45:D45" si="10">SUM(C43:C44)</f>
        <v>1658540.58</v>
      </c>
      <c r="D45" s="153">
        <f t="shared" si="10"/>
        <v>12.555596343178621</v>
      </c>
      <c r="E45" s="153">
        <f>SUM(E43:E44)</f>
        <v>1422000</v>
      </c>
      <c r="F45" s="153">
        <f t="shared" ref="F45:G45" si="11">SUM(F43:F44)</f>
        <v>1658540.58</v>
      </c>
      <c r="G45" s="153">
        <f t="shared" si="11"/>
        <v>12.555596343178621</v>
      </c>
    </row>
    <row r="46" spans="1:15" x14ac:dyDescent="0.25">
      <c r="A46" s="480"/>
      <c r="B46" s="481"/>
      <c r="C46" s="481"/>
      <c r="D46" s="481"/>
      <c r="E46" s="481"/>
      <c r="F46" s="481"/>
      <c r="G46" s="481"/>
      <c r="H46" s="481"/>
      <c r="I46" s="481"/>
    </row>
    <row r="47" spans="1:15" ht="33.75" customHeight="1" x14ac:dyDescent="0.25">
      <c r="A47" s="154" t="s">
        <v>7</v>
      </c>
      <c r="B47" s="154" t="s">
        <v>127</v>
      </c>
      <c r="C47" s="154" t="s">
        <v>128</v>
      </c>
      <c r="D47" s="154" t="s">
        <v>0</v>
      </c>
      <c r="F47"/>
    </row>
    <row r="48" spans="1:15" ht="32.25" customHeight="1" x14ac:dyDescent="0.25">
      <c r="A48" s="155" t="s">
        <v>129</v>
      </c>
      <c r="B48" s="221">
        <f>F10</f>
        <v>1600540.58</v>
      </c>
      <c r="C48" s="221">
        <f>F24</f>
        <v>58000</v>
      </c>
      <c r="D48" s="221">
        <f>SUM(B48:C48)</f>
        <v>1658540.58</v>
      </c>
      <c r="F48"/>
    </row>
    <row r="49" spans="1:7" ht="32.25" customHeight="1" x14ac:dyDescent="0.25">
      <c r="A49" s="155" t="s">
        <v>130</v>
      </c>
      <c r="B49" s="221">
        <f>'Anexo 3. Elemento de Despesas'!O21</f>
        <v>1600540.58</v>
      </c>
      <c r="C49" s="221">
        <f>'Anexo 3. Elemento de Despesas'!P21</f>
        <v>58000</v>
      </c>
      <c r="D49" s="221">
        <f>SUM(B49:C49)</f>
        <v>1658540.58</v>
      </c>
      <c r="F49"/>
    </row>
    <row r="50" spans="1:7" ht="18.75" x14ac:dyDescent="0.25">
      <c r="A50" s="156" t="s">
        <v>22</v>
      </c>
      <c r="B50" s="157">
        <f>B48-B49</f>
        <v>0</v>
      </c>
      <c r="C50" s="157">
        <f>C48-C49</f>
        <v>0</v>
      </c>
      <c r="D50" s="157">
        <f>D48-D49</f>
        <v>0</v>
      </c>
      <c r="F50"/>
    </row>
    <row r="52" spans="1:7" ht="30" customHeight="1" x14ac:dyDescent="0.25">
      <c r="A52" s="154" t="s">
        <v>362</v>
      </c>
      <c r="B52" s="154" t="s">
        <v>57</v>
      </c>
      <c r="C52" s="158"/>
      <c r="D52" s="477"/>
      <c r="E52" s="477"/>
    </row>
    <row r="53" spans="1:7" s="78" customFormat="1" ht="50.25" customHeight="1" x14ac:dyDescent="0.25">
      <c r="A53" s="154" t="s">
        <v>363</v>
      </c>
      <c r="B53" s="74">
        <v>102180.46</v>
      </c>
      <c r="C53" s="158"/>
      <c r="D53" s="477"/>
      <c r="E53" s="477"/>
    </row>
    <row r="54" spans="1:7" s="78" customFormat="1" ht="30" customHeight="1" x14ac:dyDescent="0.25">
      <c r="A54" s="154" t="s">
        <v>209</v>
      </c>
      <c r="B54" s="74">
        <v>58000</v>
      </c>
      <c r="C54" s="158"/>
      <c r="D54" s="477"/>
      <c r="E54" s="477"/>
    </row>
    <row r="55" spans="1:7" s="78" customFormat="1" ht="30" customHeight="1" x14ac:dyDescent="0.25">
      <c r="A55" s="154" t="s">
        <v>210</v>
      </c>
      <c r="B55" s="74">
        <v>0</v>
      </c>
      <c r="C55" s="158"/>
      <c r="D55" s="477"/>
      <c r="E55" s="477"/>
    </row>
    <row r="56" spans="1:7" s="78" customFormat="1" ht="23.25" x14ac:dyDescent="0.25">
      <c r="A56" s="154" t="s">
        <v>211</v>
      </c>
      <c r="B56" s="74">
        <f>B53-B54-B55</f>
        <v>44180.460000000006</v>
      </c>
      <c r="C56" s="158"/>
      <c r="D56" s="477"/>
      <c r="E56" s="477"/>
    </row>
    <row r="57" spans="1:7" s="78" customFormat="1" ht="37.5" x14ac:dyDescent="0.25">
      <c r="A57" s="154" t="s">
        <v>364</v>
      </c>
      <c r="B57" s="74"/>
      <c r="C57" s="158"/>
      <c r="D57" s="477"/>
      <c r="E57" s="477"/>
    </row>
    <row r="58" spans="1:7" s="78" customFormat="1" ht="23.25" x14ac:dyDescent="0.25">
      <c r="A58" s="154" t="s">
        <v>365</v>
      </c>
      <c r="B58" s="74"/>
      <c r="C58" s="158"/>
      <c r="D58" s="477"/>
      <c r="E58" s="477"/>
    </row>
    <row r="59" spans="1:7" ht="26.25" x14ac:dyDescent="0.25">
      <c r="A59" s="434" t="s">
        <v>361</v>
      </c>
      <c r="B59" s="435"/>
      <c r="C59" s="435"/>
      <c r="D59" s="435"/>
      <c r="E59" s="435"/>
      <c r="F59" s="435"/>
      <c r="G59" s="436"/>
    </row>
    <row r="60" spans="1:7" ht="99" customHeight="1" x14ac:dyDescent="0.25">
      <c r="A60" s="474"/>
      <c r="B60" s="475"/>
      <c r="C60" s="475"/>
      <c r="D60" s="475"/>
      <c r="E60" s="475"/>
      <c r="F60" s="475"/>
      <c r="G60" s="476"/>
    </row>
  </sheetData>
  <mergeCells count="52">
    <mergeCell ref="S12:S13"/>
    <mergeCell ref="P12:P13"/>
    <mergeCell ref="Q12:Q13"/>
    <mergeCell ref="R12:R13"/>
    <mergeCell ref="A17:B17"/>
    <mergeCell ref="A60:G60"/>
    <mergeCell ref="D52:E58"/>
    <mergeCell ref="H28:I28"/>
    <mergeCell ref="A41:A42"/>
    <mergeCell ref="A59:G59"/>
    <mergeCell ref="A46:I46"/>
    <mergeCell ref="B41:D41"/>
    <mergeCell ref="A34:B34"/>
    <mergeCell ref="A38:I38"/>
    <mergeCell ref="A29:B29"/>
    <mergeCell ref="A31:B31"/>
    <mergeCell ref="A28:B28"/>
    <mergeCell ref="E41:G41"/>
    <mergeCell ref="A40:G40"/>
    <mergeCell ref="A35:B35"/>
    <mergeCell ref="A36:B36"/>
    <mergeCell ref="D7:F7"/>
    <mergeCell ref="I7:I8"/>
    <mergeCell ref="A30:B30"/>
    <mergeCell ref="A32:B32"/>
    <mergeCell ref="A33:B33"/>
    <mergeCell ref="A19:B19"/>
    <mergeCell ref="A27:B27"/>
    <mergeCell ref="A37:B37"/>
    <mergeCell ref="A10:B10"/>
    <mergeCell ref="A11:B11"/>
    <mergeCell ref="A20:B20"/>
    <mergeCell ref="A21:B21"/>
    <mergeCell ref="A22:B22"/>
    <mergeCell ref="A23:B23"/>
    <mergeCell ref="A24:B24"/>
    <mergeCell ref="A4:I4"/>
    <mergeCell ref="A5:I5"/>
    <mergeCell ref="A7:B8"/>
    <mergeCell ref="A9:B9"/>
    <mergeCell ref="A26:B26"/>
    <mergeCell ref="A12:B12"/>
    <mergeCell ref="A13:B13"/>
    <mergeCell ref="A14:B14"/>
    <mergeCell ref="A15:B15"/>
    <mergeCell ref="A16:B16"/>
    <mergeCell ref="H9:I9"/>
    <mergeCell ref="A25:B25"/>
    <mergeCell ref="G7:H7"/>
    <mergeCell ref="A6:F6"/>
    <mergeCell ref="C7:C8"/>
    <mergeCell ref="A18:B18"/>
  </mergeCells>
  <phoneticPr fontId="66" type="noConversion"/>
  <conditionalFormatting sqref="C39:F39">
    <cfRule type="cellIs" dxfId="7" priority="2" operator="equal">
      <formula>TRUE</formula>
    </cfRule>
    <cfRule type="cellIs" dxfId="6" priority="3" operator="equal">
      <formula>TRUE</formula>
    </cfRule>
  </conditionalFormatting>
  <conditionalFormatting sqref="C39:F39">
    <cfRule type="cellIs" dxfId="5" priority="1" operator="equal">
      <formula>FALSE</formula>
    </cfRule>
  </conditionalFormatting>
  <pageMargins left="0.23622047244094491" right="0.23622047244094491" top="0.74803149606299213" bottom="0.74803149606299213" header="0.31496062992125984" footer="0.31496062992125984"/>
  <pageSetup paperSize="9" scale="50" orientation="portrait" horizontalDpi="300" verticalDpi="3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>
    <tabColor rgb="FF777777"/>
  </sheetPr>
  <dimension ref="A1:AC35"/>
  <sheetViews>
    <sheetView zoomScale="80" zoomScaleNormal="80" workbookViewId="0">
      <selection activeCell="L6" sqref="L6"/>
    </sheetView>
  </sheetViews>
  <sheetFormatPr defaultRowHeight="15" x14ac:dyDescent="0.25"/>
  <cols>
    <col min="1" max="1" width="9.140625" style="6"/>
    <col min="2" max="2" width="35.5703125" style="6" customWidth="1"/>
    <col min="3" max="3" width="35.7109375" style="6" customWidth="1"/>
    <col min="4" max="5" width="24.28515625" style="6" customWidth="1"/>
    <col min="6" max="6" width="11.5703125" style="6" bestFit="1" customWidth="1"/>
    <col min="7" max="7" width="10.5703125" style="6" customWidth="1"/>
    <col min="8" max="8" width="18.42578125" style="6" customWidth="1"/>
    <col min="9" max="9" width="59.7109375" style="6" customWidth="1"/>
    <col min="10" max="10" width="26.140625" style="6" customWidth="1"/>
    <col min="11" max="12" width="20.7109375" style="6" customWidth="1"/>
    <col min="13" max="13" width="11.5703125" style="6" bestFit="1" customWidth="1"/>
    <col min="14" max="14" width="10.7109375" style="6" customWidth="1"/>
    <col min="15" max="15" width="13" style="6" customWidth="1"/>
    <col min="16" max="16" width="16.7109375" style="6" customWidth="1"/>
    <col min="17" max="257" width="9.140625" style="6"/>
    <col min="258" max="258" width="35.5703125" style="6" customWidth="1"/>
    <col min="259" max="259" width="23" style="6" customWidth="1"/>
    <col min="260" max="260" width="17.7109375" style="6" customWidth="1"/>
    <col min="261" max="261" width="18.42578125" style="6" customWidth="1"/>
    <col min="262" max="263" width="13.140625" style="6" customWidth="1"/>
    <col min="264" max="264" width="10.7109375" style="6" customWidth="1"/>
    <col min="265" max="265" width="40.85546875" style="6" customWidth="1"/>
    <col min="266" max="266" width="34.140625" style="6" customWidth="1"/>
    <col min="267" max="267" width="16" style="6" customWidth="1"/>
    <col min="268" max="268" width="15.7109375" style="6" customWidth="1"/>
    <col min="269" max="269" width="17.42578125" style="6" customWidth="1"/>
    <col min="270" max="270" width="10.7109375" style="6" customWidth="1"/>
    <col min="271" max="271" width="13" style="6" customWidth="1"/>
    <col min="272" max="272" width="16.7109375" style="6" customWidth="1"/>
    <col min="273" max="513" width="9.140625" style="6"/>
    <col min="514" max="514" width="35.5703125" style="6" customWidth="1"/>
    <col min="515" max="515" width="23" style="6" customWidth="1"/>
    <col min="516" max="516" width="17.7109375" style="6" customWidth="1"/>
    <col min="517" max="517" width="18.42578125" style="6" customWidth="1"/>
    <col min="518" max="519" width="13.140625" style="6" customWidth="1"/>
    <col min="520" max="520" width="10.7109375" style="6" customWidth="1"/>
    <col min="521" max="521" width="40.85546875" style="6" customWidth="1"/>
    <col min="522" max="522" width="34.140625" style="6" customWidth="1"/>
    <col min="523" max="523" width="16" style="6" customWidth="1"/>
    <col min="524" max="524" width="15.7109375" style="6" customWidth="1"/>
    <col min="525" max="525" width="17.42578125" style="6" customWidth="1"/>
    <col min="526" max="526" width="10.7109375" style="6" customWidth="1"/>
    <col min="527" max="527" width="13" style="6" customWidth="1"/>
    <col min="528" max="528" width="16.7109375" style="6" customWidth="1"/>
    <col min="529" max="769" width="9.140625" style="6"/>
    <col min="770" max="770" width="35.5703125" style="6" customWidth="1"/>
    <col min="771" max="771" width="23" style="6" customWidth="1"/>
    <col min="772" max="772" width="17.7109375" style="6" customWidth="1"/>
    <col min="773" max="773" width="18.42578125" style="6" customWidth="1"/>
    <col min="774" max="775" width="13.140625" style="6" customWidth="1"/>
    <col min="776" max="776" width="10.7109375" style="6" customWidth="1"/>
    <col min="777" max="777" width="40.85546875" style="6" customWidth="1"/>
    <col min="778" max="778" width="34.140625" style="6" customWidth="1"/>
    <col min="779" max="779" width="16" style="6" customWidth="1"/>
    <col min="780" max="780" width="15.7109375" style="6" customWidth="1"/>
    <col min="781" max="781" width="17.42578125" style="6" customWidth="1"/>
    <col min="782" max="782" width="10.7109375" style="6" customWidth="1"/>
    <col min="783" max="783" width="13" style="6" customWidth="1"/>
    <col min="784" max="784" width="16.7109375" style="6" customWidth="1"/>
    <col min="785" max="1025" width="9.140625" style="6"/>
    <col min="1026" max="1026" width="35.5703125" style="6" customWidth="1"/>
    <col min="1027" max="1027" width="23" style="6" customWidth="1"/>
    <col min="1028" max="1028" width="17.7109375" style="6" customWidth="1"/>
    <col min="1029" max="1029" width="18.42578125" style="6" customWidth="1"/>
    <col min="1030" max="1031" width="13.140625" style="6" customWidth="1"/>
    <col min="1032" max="1032" width="10.7109375" style="6" customWidth="1"/>
    <col min="1033" max="1033" width="40.85546875" style="6" customWidth="1"/>
    <col min="1034" max="1034" width="34.140625" style="6" customWidth="1"/>
    <col min="1035" max="1035" width="16" style="6" customWidth="1"/>
    <col min="1036" max="1036" width="15.7109375" style="6" customWidth="1"/>
    <col min="1037" max="1037" width="17.42578125" style="6" customWidth="1"/>
    <col min="1038" max="1038" width="10.7109375" style="6" customWidth="1"/>
    <col min="1039" max="1039" width="13" style="6" customWidth="1"/>
    <col min="1040" max="1040" width="16.7109375" style="6" customWidth="1"/>
    <col min="1041" max="1281" width="9.140625" style="6"/>
    <col min="1282" max="1282" width="35.5703125" style="6" customWidth="1"/>
    <col min="1283" max="1283" width="23" style="6" customWidth="1"/>
    <col min="1284" max="1284" width="17.7109375" style="6" customWidth="1"/>
    <col min="1285" max="1285" width="18.42578125" style="6" customWidth="1"/>
    <col min="1286" max="1287" width="13.140625" style="6" customWidth="1"/>
    <col min="1288" max="1288" width="10.7109375" style="6" customWidth="1"/>
    <col min="1289" max="1289" width="40.85546875" style="6" customWidth="1"/>
    <col min="1290" max="1290" width="34.140625" style="6" customWidth="1"/>
    <col min="1291" max="1291" width="16" style="6" customWidth="1"/>
    <col min="1292" max="1292" width="15.7109375" style="6" customWidth="1"/>
    <col min="1293" max="1293" width="17.42578125" style="6" customWidth="1"/>
    <col min="1294" max="1294" width="10.7109375" style="6" customWidth="1"/>
    <col min="1295" max="1295" width="13" style="6" customWidth="1"/>
    <col min="1296" max="1296" width="16.7109375" style="6" customWidth="1"/>
    <col min="1297" max="1537" width="9.140625" style="6"/>
    <col min="1538" max="1538" width="35.5703125" style="6" customWidth="1"/>
    <col min="1539" max="1539" width="23" style="6" customWidth="1"/>
    <col min="1540" max="1540" width="17.7109375" style="6" customWidth="1"/>
    <col min="1541" max="1541" width="18.42578125" style="6" customWidth="1"/>
    <col min="1542" max="1543" width="13.140625" style="6" customWidth="1"/>
    <col min="1544" max="1544" width="10.7109375" style="6" customWidth="1"/>
    <col min="1545" max="1545" width="40.85546875" style="6" customWidth="1"/>
    <col min="1546" max="1546" width="34.140625" style="6" customWidth="1"/>
    <col min="1547" max="1547" width="16" style="6" customWidth="1"/>
    <col min="1548" max="1548" width="15.7109375" style="6" customWidth="1"/>
    <col min="1549" max="1549" width="17.42578125" style="6" customWidth="1"/>
    <col min="1550" max="1550" width="10.7109375" style="6" customWidth="1"/>
    <col min="1551" max="1551" width="13" style="6" customWidth="1"/>
    <col min="1552" max="1552" width="16.7109375" style="6" customWidth="1"/>
    <col min="1553" max="1793" width="9.140625" style="6"/>
    <col min="1794" max="1794" width="35.5703125" style="6" customWidth="1"/>
    <col min="1795" max="1795" width="23" style="6" customWidth="1"/>
    <col min="1796" max="1796" width="17.7109375" style="6" customWidth="1"/>
    <col min="1797" max="1797" width="18.42578125" style="6" customWidth="1"/>
    <col min="1798" max="1799" width="13.140625" style="6" customWidth="1"/>
    <col min="1800" max="1800" width="10.7109375" style="6" customWidth="1"/>
    <col min="1801" max="1801" width="40.85546875" style="6" customWidth="1"/>
    <col min="1802" max="1802" width="34.140625" style="6" customWidth="1"/>
    <col min="1803" max="1803" width="16" style="6" customWidth="1"/>
    <col min="1804" max="1804" width="15.7109375" style="6" customWidth="1"/>
    <col min="1805" max="1805" width="17.42578125" style="6" customWidth="1"/>
    <col min="1806" max="1806" width="10.7109375" style="6" customWidth="1"/>
    <col min="1807" max="1807" width="13" style="6" customWidth="1"/>
    <col min="1808" max="1808" width="16.7109375" style="6" customWidth="1"/>
    <col min="1809" max="2049" width="9.140625" style="6"/>
    <col min="2050" max="2050" width="35.5703125" style="6" customWidth="1"/>
    <col min="2051" max="2051" width="23" style="6" customWidth="1"/>
    <col min="2052" max="2052" width="17.7109375" style="6" customWidth="1"/>
    <col min="2053" max="2053" width="18.42578125" style="6" customWidth="1"/>
    <col min="2054" max="2055" width="13.140625" style="6" customWidth="1"/>
    <col min="2056" max="2056" width="10.7109375" style="6" customWidth="1"/>
    <col min="2057" max="2057" width="40.85546875" style="6" customWidth="1"/>
    <col min="2058" max="2058" width="34.140625" style="6" customWidth="1"/>
    <col min="2059" max="2059" width="16" style="6" customWidth="1"/>
    <col min="2060" max="2060" width="15.7109375" style="6" customWidth="1"/>
    <col min="2061" max="2061" width="17.42578125" style="6" customWidth="1"/>
    <col min="2062" max="2062" width="10.7109375" style="6" customWidth="1"/>
    <col min="2063" max="2063" width="13" style="6" customWidth="1"/>
    <col min="2064" max="2064" width="16.7109375" style="6" customWidth="1"/>
    <col min="2065" max="2305" width="9.140625" style="6"/>
    <col min="2306" max="2306" width="35.5703125" style="6" customWidth="1"/>
    <col min="2307" max="2307" width="23" style="6" customWidth="1"/>
    <col min="2308" max="2308" width="17.7109375" style="6" customWidth="1"/>
    <col min="2309" max="2309" width="18.42578125" style="6" customWidth="1"/>
    <col min="2310" max="2311" width="13.140625" style="6" customWidth="1"/>
    <col min="2312" max="2312" width="10.7109375" style="6" customWidth="1"/>
    <col min="2313" max="2313" width="40.85546875" style="6" customWidth="1"/>
    <col min="2314" max="2314" width="34.140625" style="6" customWidth="1"/>
    <col min="2315" max="2315" width="16" style="6" customWidth="1"/>
    <col min="2316" max="2316" width="15.7109375" style="6" customWidth="1"/>
    <col min="2317" max="2317" width="17.42578125" style="6" customWidth="1"/>
    <col min="2318" max="2318" width="10.7109375" style="6" customWidth="1"/>
    <col min="2319" max="2319" width="13" style="6" customWidth="1"/>
    <col min="2320" max="2320" width="16.7109375" style="6" customWidth="1"/>
    <col min="2321" max="2561" width="9.140625" style="6"/>
    <col min="2562" max="2562" width="35.5703125" style="6" customWidth="1"/>
    <col min="2563" max="2563" width="23" style="6" customWidth="1"/>
    <col min="2564" max="2564" width="17.7109375" style="6" customWidth="1"/>
    <col min="2565" max="2565" width="18.42578125" style="6" customWidth="1"/>
    <col min="2566" max="2567" width="13.140625" style="6" customWidth="1"/>
    <col min="2568" max="2568" width="10.7109375" style="6" customWidth="1"/>
    <col min="2569" max="2569" width="40.85546875" style="6" customWidth="1"/>
    <col min="2570" max="2570" width="34.140625" style="6" customWidth="1"/>
    <col min="2571" max="2571" width="16" style="6" customWidth="1"/>
    <col min="2572" max="2572" width="15.7109375" style="6" customWidth="1"/>
    <col min="2573" max="2573" width="17.42578125" style="6" customWidth="1"/>
    <col min="2574" max="2574" width="10.7109375" style="6" customWidth="1"/>
    <col min="2575" max="2575" width="13" style="6" customWidth="1"/>
    <col min="2576" max="2576" width="16.7109375" style="6" customWidth="1"/>
    <col min="2577" max="2817" width="9.140625" style="6"/>
    <col min="2818" max="2818" width="35.5703125" style="6" customWidth="1"/>
    <col min="2819" max="2819" width="23" style="6" customWidth="1"/>
    <col min="2820" max="2820" width="17.7109375" style="6" customWidth="1"/>
    <col min="2821" max="2821" width="18.42578125" style="6" customWidth="1"/>
    <col min="2822" max="2823" width="13.140625" style="6" customWidth="1"/>
    <col min="2824" max="2824" width="10.7109375" style="6" customWidth="1"/>
    <col min="2825" max="2825" width="40.85546875" style="6" customWidth="1"/>
    <col min="2826" max="2826" width="34.140625" style="6" customWidth="1"/>
    <col min="2827" max="2827" width="16" style="6" customWidth="1"/>
    <col min="2828" max="2828" width="15.7109375" style="6" customWidth="1"/>
    <col min="2829" max="2829" width="17.42578125" style="6" customWidth="1"/>
    <col min="2830" max="2830" width="10.7109375" style="6" customWidth="1"/>
    <col min="2831" max="2831" width="13" style="6" customWidth="1"/>
    <col min="2832" max="2832" width="16.7109375" style="6" customWidth="1"/>
    <col min="2833" max="3073" width="9.140625" style="6"/>
    <col min="3074" max="3074" width="35.5703125" style="6" customWidth="1"/>
    <col min="3075" max="3075" width="23" style="6" customWidth="1"/>
    <col min="3076" max="3076" width="17.7109375" style="6" customWidth="1"/>
    <col min="3077" max="3077" width="18.42578125" style="6" customWidth="1"/>
    <col min="3078" max="3079" width="13.140625" style="6" customWidth="1"/>
    <col min="3080" max="3080" width="10.7109375" style="6" customWidth="1"/>
    <col min="3081" max="3081" width="40.85546875" style="6" customWidth="1"/>
    <col min="3082" max="3082" width="34.140625" style="6" customWidth="1"/>
    <col min="3083" max="3083" width="16" style="6" customWidth="1"/>
    <col min="3084" max="3084" width="15.7109375" style="6" customWidth="1"/>
    <col min="3085" max="3085" width="17.42578125" style="6" customWidth="1"/>
    <col min="3086" max="3086" width="10.7109375" style="6" customWidth="1"/>
    <col min="3087" max="3087" width="13" style="6" customWidth="1"/>
    <col min="3088" max="3088" width="16.7109375" style="6" customWidth="1"/>
    <col min="3089" max="3329" width="9.140625" style="6"/>
    <col min="3330" max="3330" width="35.5703125" style="6" customWidth="1"/>
    <col min="3331" max="3331" width="23" style="6" customWidth="1"/>
    <col min="3332" max="3332" width="17.7109375" style="6" customWidth="1"/>
    <col min="3333" max="3333" width="18.42578125" style="6" customWidth="1"/>
    <col min="3334" max="3335" width="13.140625" style="6" customWidth="1"/>
    <col min="3336" max="3336" width="10.7109375" style="6" customWidth="1"/>
    <col min="3337" max="3337" width="40.85546875" style="6" customWidth="1"/>
    <col min="3338" max="3338" width="34.140625" style="6" customWidth="1"/>
    <col min="3339" max="3339" width="16" style="6" customWidth="1"/>
    <col min="3340" max="3340" width="15.7109375" style="6" customWidth="1"/>
    <col min="3341" max="3341" width="17.42578125" style="6" customWidth="1"/>
    <col min="3342" max="3342" width="10.7109375" style="6" customWidth="1"/>
    <col min="3343" max="3343" width="13" style="6" customWidth="1"/>
    <col min="3344" max="3344" width="16.7109375" style="6" customWidth="1"/>
    <col min="3345" max="3585" width="9.140625" style="6"/>
    <col min="3586" max="3586" width="35.5703125" style="6" customWidth="1"/>
    <col min="3587" max="3587" width="23" style="6" customWidth="1"/>
    <col min="3588" max="3588" width="17.7109375" style="6" customWidth="1"/>
    <col min="3589" max="3589" width="18.42578125" style="6" customWidth="1"/>
    <col min="3590" max="3591" width="13.140625" style="6" customWidth="1"/>
    <col min="3592" max="3592" width="10.7109375" style="6" customWidth="1"/>
    <col min="3593" max="3593" width="40.85546875" style="6" customWidth="1"/>
    <col min="3594" max="3594" width="34.140625" style="6" customWidth="1"/>
    <col min="3595" max="3595" width="16" style="6" customWidth="1"/>
    <col min="3596" max="3596" width="15.7109375" style="6" customWidth="1"/>
    <col min="3597" max="3597" width="17.42578125" style="6" customWidth="1"/>
    <col min="3598" max="3598" width="10.7109375" style="6" customWidth="1"/>
    <col min="3599" max="3599" width="13" style="6" customWidth="1"/>
    <col min="3600" max="3600" width="16.7109375" style="6" customWidth="1"/>
    <col min="3601" max="3841" width="9.140625" style="6"/>
    <col min="3842" max="3842" width="35.5703125" style="6" customWidth="1"/>
    <col min="3843" max="3843" width="23" style="6" customWidth="1"/>
    <col min="3844" max="3844" width="17.7109375" style="6" customWidth="1"/>
    <col min="3845" max="3845" width="18.42578125" style="6" customWidth="1"/>
    <col min="3846" max="3847" width="13.140625" style="6" customWidth="1"/>
    <col min="3848" max="3848" width="10.7109375" style="6" customWidth="1"/>
    <col min="3849" max="3849" width="40.85546875" style="6" customWidth="1"/>
    <col min="3850" max="3850" width="34.140625" style="6" customWidth="1"/>
    <col min="3851" max="3851" width="16" style="6" customWidth="1"/>
    <col min="3852" max="3852" width="15.7109375" style="6" customWidth="1"/>
    <col min="3853" max="3853" width="17.42578125" style="6" customWidth="1"/>
    <col min="3854" max="3854" width="10.7109375" style="6" customWidth="1"/>
    <col min="3855" max="3855" width="13" style="6" customWidth="1"/>
    <col min="3856" max="3856" width="16.7109375" style="6" customWidth="1"/>
    <col min="3857" max="4097" width="9.140625" style="6"/>
    <col min="4098" max="4098" width="35.5703125" style="6" customWidth="1"/>
    <col min="4099" max="4099" width="23" style="6" customWidth="1"/>
    <col min="4100" max="4100" width="17.7109375" style="6" customWidth="1"/>
    <col min="4101" max="4101" width="18.42578125" style="6" customWidth="1"/>
    <col min="4102" max="4103" width="13.140625" style="6" customWidth="1"/>
    <col min="4104" max="4104" width="10.7109375" style="6" customWidth="1"/>
    <col min="4105" max="4105" width="40.85546875" style="6" customWidth="1"/>
    <col min="4106" max="4106" width="34.140625" style="6" customWidth="1"/>
    <col min="4107" max="4107" width="16" style="6" customWidth="1"/>
    <col min="4108" max="4108" width="15.7109375" style="6" customWidth="1"/>
    <col min="4109" max="4109" width="17.42578125" style="6" customWidth="1"/>
    <col min="4110" max="4110" width="10.7109375" style="6" customWidth="1"/>
    <col min="4111" max="4111" width="13" style="6" customWidth="1"/>
    <col min="4112" max="4112" width="16.7109375" style="6" customWidth="1"/>
    <col min="4113" max="4353" width="9.140625" style="6"/>
    <col min="4354" max="4354" width="35.5703125" style="6" customWidth="1"/>
    <col min="4355" max="4355" width="23" style="6" customWidth="1"/>
    <col min="4356" max="4356" width="17.7109375" style="6" customWidth="1"/>
    <col min="4357" max="4357" width="18.42578125" style="6" customWidth="1"/>
    <col min="4358" max="4359" width="13.140625" style="6" customWidth="1"/>
    <col min="4360" max="4360" width="10.7109375" style="6" customWidth="1"/>
    <col min="4361" max="4361" width="40.85546875" style="6" customWidth="1"/>
    <col min="4362" max="4362" width="34.140625" style="6" customWidth="1"/>
    <col min="4363" max="4363" width="16" style="6" customWidth="1"/>
    <col min="4364" max="4364" width="15.7109375" style="6" customWidth="1"/>
    <col min="4365" max="4365" width="17.42578125" style="6" customWidth="1"/>
    <col min="4366" max="4366" width="10.7109375" style="6" customWidth="1"/>
    <col min="4367" max="4367" width="13" style="6" customWidth="1"/>
    <col min="4368" max="4368" width="16.7109375" style="6" customWidth="1"/>
    <col min="4369" max="4609" width="9.140625" style="6"/>
    <col min="4610" max="4610" width="35.5703125" style="6" customWidth="1"/>
    <col min="4611" max="4611" width="23" style="6" customWidth="1"/>
    <col min="4612" max="4612" width="17.7109375" style="6" customWidth="1"/>
    <col min="4613" max="4613" width="18.42578125" style="6" customWidth="1"/>
    <col min="4614" max="4615" width="13.140625" style="6" customWidth="1"/>
    <col min="4616" max="4616" width="10.7109375" style="6" customWidth="1"/>
    <col min="4617" max="4617" width="40.85546875" style="6" customWidth="1"/>
    <col min="4618" max="4618" width="34.140625" style="6" customWidth="1"/>
    <col min="4619" max="4619" width="16" style="6" customWidth="1"/>
    <col min="4620" max="4620" width="15.7109375" style="6" customWidth="1"/>
    <col min="4621" max="4621" width="17.42578125" style="6" customWidth="1"/>
    <col min="4622" max="4622" width="10.7109375" style="6" customWidth="1"/>
    <col min="4623" max="4623" width="13" style="6" customWidth="1"/>
    <col min="4624" max="4624" width="16.7109375" style="6" customWidth="1"/>
    <col min="4625" max="4865" width="9.140625" style="6"/>
    <col min="4866" max="4866" width="35.5703125" style="6" customWidth="1"/>
    <col min="4867" max="4867" width="23" style="6" customWidth="1"/>
    <col min="4868" max="4868" width="17.7109375" style="6" customWidth="1"/>
    <col min="4869" max="4869" width="18.42578125" style="6" customWidth="1"/>
    <col min="4870" max="4871" width="13.140625" style="6" customWidth="1"/>
    <col min="4872" max="4872" width="10.7109375" style="6" customWidth="1"/>
    <col min="4873" max="4873" width="40.85546875" style="6" customWidth="1"/>
    <col min="4874" max="4874" width="34.140625" style="6" customWidth="1"/>
    <col min="4875" max="4875" width="16" style="6" customWidth="1"/>
    <col min="4876" max="4876" width="15.7109375" style="6" customWidth="1"/>
    <col min="4877" max="4877" width="17.42578125" style="6" customWidth="1"/>
    <col min="4878" max="4878" width="10.7109375" style="6" customWidth="1"/>
    <col min="4879" max="4879" width="13" style="6" customWidth="1"/>
    <col min="4880" max="4880" width="16.7109375" style="6" customWidth="1"/>
    <col min="4881" max="5121" width="9.140625" style="6"/>
    <col min="5122" max="5122" width="35.5703125" style="6" customWidth="1"/>
    <col min="5123" max="5123" width="23" style="6" customWidth="1"/>
    <col min="5124" max="5124" width="17.7109375" style="6" customWidth="1"/>
    <col min="5125" max="5125" width="18.42578125" style="6" customWidth="1"/>
    <col min="5126" max="5127" width="13.140625" style="6" customWidth="1"/>
    <col min="5128" max="5128" width="10.7109375" style="6" customWidth="1"/>
    <col min="5129" max="5129" width="40.85546875" style="6" customWidth="1"/>
    <col min="5130" max="5130" width="34.140625" style="6" customWidth="1"/>
    <col min="5131" max="5131" width="16" style="6" customWidth="1"/>
    <col min="5132" max="5132" width="15.7109375" style="6" customWidth="1"/>
    <col min="5133" max="5133" width="17.42578125" style="6" customWidth="1"/>
    <col min="5134" max="5134" width="10.7109375" style="6" customWidth="1"/>
    <col min="5135" max="5135" width="13" style="6" customWidth="1"/>
    <col min="5136" max="5136" width="16.7109375" style="6" customWidth="1"/>
    <col min="5137" max="5377" width="9.140625" style="6"/>
    <col min="5378" max="5378" width="35.5703125" style="6" customWidth="1"/>
    <col min="5379" max="5379" width="23" style="6" customWidth="1"/>
    <col min="5380" max="5380" width="17.7109375" style="6" customWidth="1"/>
    <col min="5381" max="5381" width="18.42578125" style="6" customWidth="1"/>
    <col min="5382" max="5383" width="13.140625" style="6" customWidth="1"/>
    <col min="5384" max="5384" width="10.7109375" style="6" customWidth="1"/>
    <col min="5385" max="5385" width="40.85546875" style="6" customWidth="1"/>
    <col min="5386" max="5386" width="34.140625" style="6" customWidth="1"/>
    <col min="5387" max="5387" width="16" style="6" customWidth="1"/>
    <col min="5388" max="5388" width="15.7109375" style="6" customWidth="1"/>
    <col min="5389" max="5389" width="17.42578125" style="6" customWidth="1"/>
    <col min="5390" max="5390" width="10.7109375" style="6" customWidth="1"/>
    <col min="5391" max="5391" width="13" style="6" customWidth="1"/>
    <col min="5392" max="5392" width="16.7109375" style="6" customWidth="1"/>
    <col min="5393" max="5633" width="9.140625" style="6"/>
    <col min="5634" max="5634" width="35.5703125" style="6" customWidth="1"/>
    <col min="5635" max="5635" width="23" style="6" customWidth="1"/>
    <col min="5636" max="5636" width="17.7109375" style="6" customWidth="1"/>
    <col min="5637" max="5637" width="18.42578125" style="6" customWidth="1"/>
    <col min="5638" max="5639" width="13.140625" style="6" customWidth="1"/>
    <col min="5640" max="5640" width="10.7109375" style="6" customWidth="1"/>
    <col min="5641" max="5641" width="40.85546875" style="6" customWidth="1"/>
    <col min="5642" max="5642" width="34.140625" style="6" customWidth="1"/>
    <col min="5643" max="5643" width="16" style="6" customWidth="1"/>
    <col min="5644" max="5644" width="15.7109375" style="6" customWidth="1"/>
    <col min="5645" max="5645" width="17.42578125" style="6" customWidth="1"/>
    <col min="5646" max="5646" width="10.7109375" style="6" customWidth="1"/>
    <col min="5647" max="5647" width="13" style="6" customWidth="1"/>
    <col min="5648" max="5648" width="16.7109375" style="6" customWidth="1"/>
    <col min="5649" max="5889" width="9.140625" style="6"/>
    <col min="5890" max="5890" width="35.5703125" style="6" customWidth="1"/>
    <col min="5891" max="5891" width="23" style="6" customWidth="1"/>
    <col min="5892" max="5892" width="17.7109375" style="6" customWidth="1"/>
    <col min="5893" max="5893" width="18.42578125" style="6" customWidth="1"/>
    <col min="5894" max="5895" width="13.140625" style="6" customWidth="1"/>
    <col min="5896" max="5896" width="10.7109375" style="6" customWidth="1"/>
    <col min="5897" max="5897" width="40.85546875" style="6" customWidth="1"/>
    <col min="5898" max="5898" width="34.140625" style="6" customWidth="1"/>
    <col min="5899" max="5899" width="16" style="6" customWidth="1"/>
    <col min="5900" max="5900" width="15.7109375" style="6" customWidth="1"/>
    <col min="5901" max="5901" width="17.42578125" style="6" customWidth="1"/>
    <col min="5902" max="5902" width="10.7109375" style="6" customWidth="1"/>
    <col min="5903" max="5903" width="13" style="6" customWidth="1"/>
    <col min="5904" max="5904" width="16.7109375" style="6" customWidth="1"/>
    <col min="5905" max="6145" width="9.140625" style="6"/>
    <col min="6146" max="6146" width="35.5703125" style="6" customWidth="1"/>
    <col min="6147" max="6147" width="23" style="6" customWidth="1"/>
    <col min="6148" max="6148" width="17.7109375" style="6" customWidth="1"/>
    <col min="6149" max="6149" width="18.42578125" style="6" customWidth="1"/>
    <col min="6150" max="6151" width="13.140625" style="6" customWidth="1"/>
    <col min="6152" max="6152" width="10.7109375" style="6" customWidth="1"/>
    <col min="6153" max="6153" width="40.85546875" style="6" customWidth="1"/>
    <col min="6154" max="6154" width="34.140625" style="6" customWidth="1"/>
    <col min="6155" max="6155" width="16" style="6" customWidth="1"/>
    <col min="6156" max="6156" width="15.7109375" style="6" customWidth="1"/>
    <col min="6157" max="6157" width="17.42578125" style="6" customWidth="1"/>
    <col min="6158" max="6158" width="10.7109375" style="6" customWidth="1"/>
    <col min="6159" max="6159" width="13" style="6" customWidth="1"/>
    <col min="6160" max="6160" width="16.7109375" style="6" customWidth="1"/>
    <col min="6161" max="6401" width="9.140625" style="6"/>
    <col min="6402" max="6402" width="35.5703125" style="6" customWidth="1"/>
    <col min="6403" max="6403" width="23" style="6" customWidth="1"/>
    <col min="6404" max="6404" width="17.7109375" style="6" customWidth="1"/>
    <col min="6405" max="6405" width="18.42578125" style="6" customWidth="1"/>
    <col min="6406" max="6407" width="13.140625" style="6" customWidth="1"/>
    <col min="6408" max="6408" width="10.7109375" style="6" customWidth="1"/>
    <col min="6409" max="6409" width="40.85546875" style="6" customWidth="1"/>
    <col min="6410" max="6410" width="34.140625" style="6" customWidth="1"/>
    <col min="6411" max="6411" width="16" style="6" customWidth="1"/>
    <col min="6412" max="6412" width="15.7109375" style="6" customWidth="1"/>
    <col min="6413" max="6413" width="17.42578125" style="6" customWidth="1"/>
    <col min="6414" max="6414" width="10.7109375" style="6" customWidth="1"/>
    <col min="6415" max="6415" width="13" style="6" customWidth="1"/>
    <col min="6416" max="6416" width="16.7109375" style="6" customWidth="1"/>
    <col min="6417" max="6657" width="9.140625" style="6"/>
    <col min="6658" max="6658" width="35.5703125" style="6" customWidth="1"/>
    <col min="6659" max="6659" width="23" style="6" customWidth="1"/>
    <col min="6660" max="6660" width="17.7109375" style="6" customWidth="1"/>
    <col min="6661" max="6661" width="18.42578125" style="6" customWidth="1"/>
    <col min="6662" max="6663" width="13.140625" style="6" customWidth="1"/>
    <col min="6664" max="6664" width="10.7109375" style="6" customWidth="1"/>
    <col min="6665" max="6665" width="40.85546875" style="6" customWidth="1"/>
    <col min="6666" max="6666" width="34.140625" style="6" customWidth="1"/>
    <col min="6667" max="6667" width="16" style="6" customWidth="1"/>
    <col min="6668" max="6668" width="15.7109375" style="6" customWidth="1"/>
    <col min="6669" max="6669" width="17.42578125" style="6" customWidth="1"/>
    <col min="6670" max="6670" width="10.7109375" style="6" customWidth="1"/>
    <col min="6671" max="6671" width="13" style="6" customWidth="1"/>
    <col min="6672" max="6672" width="16.7109375" style="6" customWidth="1"/>
    <col min="6673" max="6913" width="9.140625" style="6"/>
    <col min="6914" max="6914" width="35.5703125" style="6" customWidth="1"/>
    <col min="6915" max="6915" width="23" style="6" customWidth="1"/>
    <col min="6916" max="6916" width="17.7109375" style="6" customWidth="1"/>
    <col min="6917" max="6917" width="18.42578125" style="6" customWidth="1"/>
    <col min="6918" max="6919" width="13.140625" style="6" customWidth="1"/>
    <col min="6920" max="6920" width="10.7109375" style="6" customWidth="1"/>
    <col min="6921" max="6921" width="40.85546875" style="6" customWidth="1"/>
    <col min="6922" max="6922" width="34.140625" style="6" customWidth="1"/>
    <col min="6923" max="6923" width="16" style="6" customWidth="1"/>
    <col min="6924" max="6924" width="15.7109375" style="6" customWidth="1"/>
    <col min="6925" max="6925" width="17.42578125" style="6" customWidth="1"/>
    <col min="6926" max="6926" width="10.7109375" style="6" customWidth="1"/>
    <col min="6927" max="6927" width="13" style="6" customWidth="1"/>
    <col min="6928" max="6928" width="16.7109375" style="6" customWidth="1"/>
    <col min="6929" max="7169" width="9.140625" style="6"/>
    <col min="7170" max="7170" width="35.5703125" style="6" customWidth="1"/>
    <col min="7171" max="7171" width="23" style="6" customWidth="1"/>
    <col min="7172" max="7172" width="17.7109375" style="6" customWidth="1"/>
    <col min="7173" max="7173" width="18.42578125" style="6" customWidth="1"/>
    <col min="7174" max="7175" width="13.140625" style="6" customWidth="1"/>
    <col min="7176" max="7176" width="10.7109375" style="6" customWidth="1"/>
    <col min="7177" max="7177" width="40.85546875" style="6" customWidth="1"/>
    <col min="7178" max="7178" width="34.140625" style="6" customWidth="1"/>
    <col min="7179" max="7179" width="16" style="6" customWidth="1"/>
    <col min="7180" max="7180" width="15.7109375" style="6" customWidth="1"/>
    <col min="7181" max="7181" width="17.42578125" style="6" customWidth="1"/>
    <col min="7182" max="7182" width="10.7109375" style="6" customWidth="1"/>
    <col min="7183" max="7183" width="13" style="6" customWidth="1"/>
    <col min="7184" max="7184" width="16.7109375" style="6" customWidth="1"/>
    <col min="7185" max="7425" width="9.140625" style="6"/>
    <col min="7426" max="7426" width="35.5703125" style="6" customWidth="1"/>
    <col min="7427" max="7427" width="23" style="6" customWidth="1"/>
    <col min="7428" max="7428" width="17.7109375" style="6" customWidth="1"/>
    <col min="7429" max="7429" width="18.42578125" style="6" customWidth="1"/>
    <col min="7430" max="7431" width="13.140625" style="6" customWidth="1"/>
    <col min="7432" max="7432" width="10.7109375" style="6" customWidth="1"/>
    <col min="7433" max="7433" width="40.85546875" style="6" customWidth="1"/>
    <col min="7434" max="7434" width="34.140625" style="6" customWidth="1"/>
    <col min="7435" max="7435" width="16" style="6" customWidth="1"/>
    <col min="7436" max="7436" width="15.7109375" style="6" customWidth="1"/>
    <col min="7437" max="7437" width="17.42578125" style="6" customWidth="1"/>
    <col min="7438" max="7438" width="10.7109375" style="6" customWidth="1"/>
    <col min="7439" max="7439" width="13" style="6" customWidth="1"/>
    <col min="7440" max="7440" width="16.7109375" style="6" customWidth="1"/>
    <col min="7441" max="7681" width="9.140625" style="6"/>
    <col min="7682" max="7682" width="35.5703125" style="6" customWidth="1"/>
    <col min="7683" max="7683" width="23" style="6" customWidth="1"/>
    <col min="7684" max="7684" width="17.7109375" style="6" customWidth="1"/>
    <col min="7685" max="7685" width="18.42578125" style="6" customWidth="1"/>
    <col min="7686" max="7687" width="13.140625" style="6" customWidth="1"/>
    <col min="7688" max="7688" width="10.7109375" style="6" customWidth="1"/>
    <col min="7689" max="7689" width="40.85546875" style="6" customWidth="1"/>
    <col min="7690" max="7690" width="34.140625" style="6" customWidth="1"/>
    <col min="7691" max="7691" width="16" style="6" customWidth="1"/>
    <col min="7692" max="7692" width="15.7109375" style="6" customWidth="1"/>
    <col min="7693" max="7693" width="17.42578125" style="6" customWidth="1"/>
    <col min="7694" max="7694" width="10.7109375" style="6" customWidth="1"/>
    <col min="7695" max="7695" width="13" style="6" customWidth="1"/>
    <col min="7696" max="7696" width="16.7109375" style="6" customWidth="1"/>
    <col min="7697" max="7937" width="9.140625" style="6"/>
    <col min="7938" max="7938" width="35.5703125" style="6" customWidth="1"/>
    <col min="7939" max="7939" width="23" style="6" customWidth="1"/>
    <col min="7940" max="7940" width="17.7109375" style="6" customWidth="1"/>
    <col min="7941" max="7941" width="18.42578125" style="6" customWidth="1"/>
    <col min="7942" max="7943" width="13.140625" style="6" customWidth="1"/>
    <col min="7944" max="7944" width="10.7109375" style="6" customWidth="1"/>
    <col min="7945" max="7945" width="40.85546875" style="6" customWidth="1"/>
    <col min="7946" max="7946" width="34.140625" style="6" customWidth="1"/>
    <col min="7947" max="7947" width="16" style="6" customWidth="1"/>
    <col min="7948" max="7948" width="15.7109375" style="6" customWidth="1"/>
    <col min="7949" max="7949" width="17.42578125" style="6" customWidth="1"/>
    <col min="7950" max="7950" width="10.7109375" style="6" customWidth="1"/>
    <col min="7951" max="7951" width="13" style="6" customWidth="1"/>
    <col min="7952" max="7952" width="16.7109375" style="6" customWidth="1"/>
    <col min="7953" max="8193" width="9.140625" style="6"/>
    <col min="8194" max="8194" width="35.5703125" style="6" customWidth="1"/>
    <col min="8195" max="8195" width="23" style="6" customWidth="1"/>
    <col min="8196" max="8196" width="17.7109375" style="6" customWidth="1"/>
    <col min="8197" max="8197" width="18.42578125" style="6" customWidth="1"/>
    <col min="8198" max="8199" width="13.140625" style="6" customWidth="1"/>
    <col min="8200" max="8200" width="10.7109375" style="6" customWidth="1"/>
    <col min="8201" max="8201" width="40.85546875" style="6" customWidth="1"/>
    <col min="8202" max="8202" width="34.140625" style="6" customWidth="1"/>
    <col min="8203" max="8203" width="16" style="6" customWidth="1"/>
    <col min="8204" max="8204" width="15.7109375" style="6" customWidth="1"/>
    <col min="8205" max="8205" width="17.42578125" style="6" customWidth="1"/>
    <col min="8206" max="8206" width="10.7109375" style="6" customWidth="1"/>
    <col min="8207" max="8207" width="13" style="6" customWidth="1"/>
    <col min="8208" max="8208" width="16.7109375" style="6" customWidth="1"/>
    <col min="8209" max="8449" width="9.140625" style="6"/>
    <col min="8450" max="8450" width="35.5703125" style="6" customWidth="1"/>
    <col min="8451" max="8451" width="23" style="6" customWidth="1"/>
    <col min="8452" max="8452" width="17.7109375" style="6" customWidth="1"/>
    <col min="8453" max="8453" width="18.42578125" style="6" customWidth="1"/>
    <col min="8454" max="8455" width="13.140625" style="6" customWidth="1"/>
    <col min="8456" max="8456" width="10.7109375" style="6" customWidth="1"/>
    <col min="8457" max="8457" width="40.85546875" style="6" customWidth="1"/>
    <col min="8458" max="8458" width="34.140625" style="6" customWidth="1"/>
    <col min="8459" max="8459" width="16" style="6" customWidth="1"/>
    <col min="8460" max="8460" width="15.7109375" style="6" customWidth="1"/>
    <col min="8461" max="8461" width="17.42578125" style="6" customWidth="1"/>
    <col min="8462" max="8462" width="10.7109375" style="6" customWidth="1"/>
    <col min="8463" max="8463" width="13" style="6" customWidth="1"/>
    <col min="8464" max="8464" width="16.7109375" style="6" customWidth="1"/>
    <col min="8465" max="8705" width="9.140625" style="6"/>
    <col min="8706" max="8706" width="35.5703125" style="6" customWidth="1"/>
    <col min="8707" max="8707" width="23" style="6" customWidth="1"/>
    <col min="8708" max="8708" width="17.7109375" style="6" customWidth="1"/>
    <col min="8709" max="8709" width="18.42578125" style="6" customWidth="1"/>
    <col min="8710" max="8711" width="13.140625" style="6" customWidth="1"/>
    <col min="8712" max="8712" width="10.7109375" style="6" customWidth="1"/>
    <col min="8713" max="8713" width="40.85546875" style="6" customWidth="1"/>
    <col min="8714" max="8714" width="34.140625" style="6" customWidth="1"/>
    <col min="8715" max="8715" width="16" style="6" customWidth="1"/>
    <col min="8716" max="8716" width="15.7109375" style="6" customWidth="1"/>
    <col min="8717" max="8717" width="17.42578125" style="6" customWidth="1"/>
    <col min="8718" max="8718" width="10.7109375" style="6" customWidth="1"/>
    <col min="8719" max="8719" width="13" style="6" customWidth="1"/>
    <col min="8720" max="8720" width="16.7109375" style="6" customWidth="1"/>
    <col min="8721" max="8961" width="9.140625" style="6"/>
    <col min="8962" max="8962" width="35.5703125" style="6" customWidth="1"/>
    <col min="8963" max="8963" width="23" style="6" customWidth="1"/>
    <col min="8964" max="8964" width="17.7109375" style="6" customWidth="1"/>
    <col min="8965" max="8965" width="18.42578125" style="6" customWidth="1"/>
    <col min="8966" max="8967" width="13.140625" style="6" customWidth="1"/>
    <col min="8968" max="8968" width="10.7109375" style="6" customWidth="1"/>
    <col min="8969" max="8969" width="40.85546875" style="6" customWidth="1"/>
    <col min="8970" max="8970" width="34.140625" style="6" customWidth="1"/>
    <col min="8971" max="8971" width="16" style="6" customWidth="1"/>
    <col min="8972" max="8972" width="15.7109375" style="6" customWidth="1"/>
    <col min="8973" max="8973" width="17.42578125" style="6" customWidth="1"/>
    <col min="8974" max="8974" width="10.7109375" style="6" customWidth="1"/>
    <col min="8975" max="8975" width="13" style="6" customWidth="1"/>
    <col min="8976" max="8976" width="16.7109375" style="6" customWidth="1"/>
    <col min="8977" max="9217" width="9.140625" style="6"/>
    <col min="9218" max="9218" width="35.5703125" style="6" customWidth="1"/>
    <col min="9219" max="9219" width="23" style="6" customWidth="1"/>
    <col min="9220" max="9220" width="17.7109375" style="6" customWidth="1"/>
    <col min="9221" max="9221" width="18.42578125" style="6" customWidth="1"/>
    <col min="9222" max="9223" width="13.140625" style="6" customWidth="1"/>
    <col min="9224" max="9224" width="10.7109375" style="6" customWidth="1"/>
    <col min="9225" max="9225" width="40.85546875" style="6" customWidth="1"/>
    <col min="9226" max="9226" width="34.140625" style="6" customWidth="1"/>
    <col min="9227" max="9227" width="16" style="6" customWidth="1"/>
    <col min="9228" max="9228" width="15.7109375" style="6" customWidth="1"/>
    <col min="9229" max="9229" width="17.42578125" style="6" customWidth="1"/>
    <col min="9230" max="9230" width="10.7109375" style="6" customWidth="1"/>
    <col min="9231" max="9231" width="13" style="6" customWidth="1"/>
    <col min="9232" max="9232" width="16.7109375" style="6" customWidth="1"/>
    <col min="9233" max="9473" width="9.140625" style="6"/>
    <col min="9474" max="9474" width="35.5703125" style="6" customWidth="1"/>
    <col min="9475" max="9475" width="23" style="6" customWidth="1"/>
    <col min="9476" max="9476" width="17.7109375" style="6" customWidth="1"/>
    <col min="9477" max="9477" width="18.42578125" style="6" customWidth="1"/>
    <col min="9478" max="9479" width="13.140625" style="6" customWidth="1"/>
    <col min="9480" max="9480" width="10.7109375" style="6" customWidth="1"/>
    <col min="9481" max="9481" width="40.85546875" style="6" customWidth="1"/>
    <col min="9482" max="9482" width="34.140625" style="6" customWidth="1"/>
    <col min="9483" max="9483" width="16" style="6" customWidth="1"/>
    <col min="9484" max="9484" width="15.7109375" style="6" customWidth="1"/>
    <col min="9485" max="9485" width="17.42578125" style="6" customWidth="1"/>
    <col min="9486" max="9486" width="10.7109375" style="6" customWidth="1"/>
    <col min="9487" max="9487" width="13" style="6" customWidth="1"/>
    <col min="9488" max="9488" width="16.7109375" style="6" customWidth="1"/>
    <col min="9489" max="9729" width="9.140625" style="6"/>
    <col min="9730" max="9730" width="35.5703125" style="6" customWidth="1"/>
    <col min="9731" max="9731" width="23" style="6" customWidth="1"/>
    <col min="9732" max="9732" width="17.7109375" style="6" customWidth="1"/>
    <col min="9733" max="9733" width="18.42578125" style="6" customWidth="1"/>
    <col min="9734" max="9735" width="13.140625" style="6" customWidth="1"/>
    <col min="9736" max="9736" width="10.7109375" style="6" customWidth="1"/>
    <col min="9737" max="9737" width="40.85546875" style="6" customWidth="1"/>
    <col min="9738" max="9738" width="34.140625" style="6" customWidth="1"/>
    <col min="9739" max="9739" width="16" style="6" customWidth="1"/>
    <col min="9740" max="9740" width="15.7109375" style="6" customWidth="1"/>
    <col min="9741" max="9741" width="17.42578125" style="6" customWidth="1"/>
    <col min="9742" max="9742" width="10.7109375" style="6" customWidth="1"/>
    <col min="9743" max="9743" width="13" style="6" customWidth="1"/>
    <col min="9744" max="9744" width="16.7109375" style="6" customWidth="1"/>
    <col min="9745" max="9985" width="9.140625" style="6"/>
    <col min="9986" max="9986" width="35.5703125" style="6" customWidth="1"/>
    <col min="9987" max="9987" width="23" style="6" customWidth="1"/>
    <col min="9988" max="9988" width="17.7109375" style="6" customWidth="1"/>
    <col min="9989" max="9989" width="18.42578125" style="6" customWidth="1"/>
    <col min="9990" max="9991" width="13.140625" style="6" customWidth="1"/>
    <col min="9992" max="9992" width="10.7109375" style="6" customWidth="1"/>
    <col min="9993" max="9993" width="40.85546875" style="6" customWidth="1"/>
    <col min="9994" max="9994" width="34.140625" style="6" customWidth="1"/>
    <col min="9995" max="9995" width="16" style="6" customWidth="1"/>
    <col min="9996" max="9996" width="15.7109375" style="6" customWidth="1"/>
    <col min="9997" max="9997" width="17.42578125" style="6" customWidth="1"/>
    <col min="9998" max="9998" width="10.7109375" style="6" customWidth="1"/>
    <col min="9999" max="9999" width="13" style="6" customWidth="1"/>
    <col min="10000" max="10000" width="16.7109375" style="6" customWidth="1"/>
    <col min="10001" max="10241" width="9.140625" style="6"/>
    <col min="10242" max="10242" width="35.5703125" style="6" customWidth="1"/>
    <col min="10243" max="10243" width="23" style="6" customWidth="1"/>
    <col min="10244" max="10244" width="17.7109375" style="6" customWidth="1"/>
    <col min="10245" max="10245" width="18.42578125" style="6" customWidth="1"/>
    <col min="10246" max="10247" width="13.140625" style="6" customWidth="1"/>
    <col min="10248" max="10248" width="10.7109375" style="6" customWidth="1"/>
    <col min="10249" max="10249" width="40.85546875" style="6" customWidth="1"/>
    <col min="10250" max="10250" width="34.140625" style="6" customWidth="1"/>
    <col min="10251" max="10251" width="16" style="6" customWidth="1"/>
    <col min="10252" max="10252" width="15.7109375" style="6" customWidth="1"/>
    <col min="10253" max="10253" width="17.42578125" style="6" customWidth="1"/>
    <col min="10254" max="10254" width="10.7109375" style="6" customWidth="1"/>
    <col min="10255" max="10255" width="13" style="6" customWidth="1"/>
    <col min="10256" max="10256" width="16.7109375" style="6" customWidth="1"/>
    <col min="10257" max="10497" width="9.140625" style="6"/>
    <col min="10498" max="10498" width="35.5703125" style="6" customWidth="1"/>
    <col min="10499" max="10499" width="23" style="6" customWidth="1"/>
    <col min="10500" max="10500" width="17.7109375" style="6" customWidth="1"/>
    <col min="10501" max="10501" width="18.42578125" style="6" customWidth="1"/>
    <col min="10502" max="10503" width="13.140625" style="6" customWidth="1"/>
    <col min="10504" max="10504" width="10.7109375" style="6" customWidth="1"/>
    <col min="10505" max="10505" width="40.85546875" style="6" customWidth="1"/>
    <col min="10506" max="10506" width="34.140625" style="6" customWidth="1"/>
    <col min="10507" max="10507" width="16" style="6" customWidth="1"/>
    <col min="10508" max="10508" width="15.7109375" style="6" customWidth="1"/>
    <col min="10509" max="10509" width="17.42578125" style="6" customWidth="1"/>
    <col min="10510" max="10510" width="10.7109375" style="6" customWidth="1"/>
    <col min="10511" max="10511" width="13" style="6" customWidth="1"/>
    <col min="10512" max="10512" width="16.7109375" style="6" customWidth="1"/>
    <col min="10513" max="10753" width="9.140625" style="6"/>
    <col min="10754" max="10754" width="35.5703125" style="6" customWidth="1"/>
    <col min="10755" max="10755" width="23" style="6" customWidth="1"/>
    <col min="10756" max="10756" width="17.7109375" style="6" customWidth="1"/>
    <col min="10757" max="10757" width="18.42578125" style="6" customWidth="1"/>
    <col min="10758" max="10759" width="13.140625" style="6" customWidth="1"/>
    <col min="10760" max="10760" width="10.7109375" style="6" customWidth="1"/>
    <col min="10761" max="10761" width="40.85546875" style="6" customWidth="1"/>
    <col min="10762" max="10762" width="34.140625" style="6" customWidth="1"/>
    <col min="10763" max="10763" width="16" style="6" customWidth="1"/>
    <col min="10764" max="10764" width="15.7109375" style="6" customWidth="1"/>
    <col min="10765" max="10765" width="17.42578125" style="6" customWidth="1"/>
    <col min="10766" max="10766" width="10.7109375" style="6" customWidth="1"/>
    <col min="10767" max="10767" width="13" style="6" customWidth="1"/>
    <col min="10768" max="10768" width="16.7109375" style="6" customWidth="1"/>
    <col min="10769" max="11009" width="9.140625" style="6"/>
    <col min="11010" max="11010" width="35.5703125" style="6" customWidth="1"/>
    <col min="11011" max="11011" width="23" style="6" customWidth="1"/>
    <col min="11012" max="11012" width="17.7109375" style="6" customWidth="1"/>
    <col min="11013" max="11013" width="18.42578125" style="6" customWidth="1"/>
    <col min="11014" max="11015" width="13.140625" style="6" customWidth="1"/>
    <col min="11016" max="11016" width="10.7109375" style="6" customWidth="1"/>
    <col min="11017" max="11017" width="40.85546875" style="6" customWidth="1"/>
    <col min="11018" max="11018" width="34.140625" style="6" customWidth="1"/>
    <col min="11019" max="11019" width="16" style="6" customWidth="1"/>
    <col min="11020" max="11020" width="15.7109375" style="6" customWidth="1"/>
    <col min="11021" max="11021" width="17.42578125" style="6" customWidth="1"/>
    <col min="11022" max="11022" width="10.7109375" style="6" customWidth="1"/>
    <col min="11023" max="11023" width="13" style="6" customWidth="1"/>
    <col min="11024" max="11024" width="16.7109375" style="6" customWidth="1"/>
    <col min="11025" max="11265" width="9.140625" style="6"/>
    <col min="11266" max="11266" width="35.5703125" style="6" customWidth="1"/>
    <col min="11267" max="11267" width="23" style="6" customWidth="1"/>
    <col min="11268" max="11268" width="17.7109375" style="6" customWidth="1"/>
    <col min="11269" max="11269" width="18.42578125" style="6" customWidth="1"/>
    <col min="11270" max="11271" width="13.140625" style="6" customWidth="1"/>
    <col min="11272" max="11272" width="10.7109375" style="6" customWidth="1"/>
    <col min="11273" max="11273" width="40.85546875" style="6" customWidth="1"/>
    <col min="11274" max="11274" width="34.140625" style="6" customWidth="1"/>
    <col min="11275" max="11275" width="16" style="6" customWidth="1"/>
    <col min="11276" max="11276" width="15.7109375" style="6" customWidth="1"/>
    <col min="11277" max="11277" width="17.42578125" style="6" customWidth="1"/>
    <col min="11278" max="11278" width="10.7109375" style="6" customWidth="1"/>
    <col min="11279" max="11279" width="13" style="6" customWidth="1"/>
    <col min="11280" max="11280" width="16.7109375" style="6" customWidth="1"/>
    <col min="11281" max="11521" width="9.140625" style="6"/>
    <col min="11522" max="11522" width="35.5703125" style="6" customWidth="1"/>
    <col min="11523" max="11523" width="23" style="6" customWidth="1"/>
    <col min="11524" max="11524" width="17.7109375" style="6" customWidth="1"/>
    <col min="11525" max="11525" width="18.42578125" style="6" customWidth="1"/>
    <col min="11526" max="11527" width="13.140625" style="6" customWidth="1"/>
    <col min="11528" max="11528" width="10.7109375" style="6" customWidth="1"/>
    <col min="11529" max="11529" width="40.85546875" style="6" customWidth="1"/>
    <col min="11530" max="11530" width="34.140625" style="6" customWidth="1"/>
    <col min="11531" max="11531" width="16" style="6" customWidth="1"/>
    <col min="11532" max="11532" width="15.7109375" style="6" customWidth="1"/>
    <col min="11533" max="11533" width="17.42578125" style="6" customWidth="1"/>
    <col min="11534" max="11534" width="10.7109375" style="6" customWidth="1"/>
    <col min="11535" max="11535" width="13" style="6" customWidth="1"/>
    <col min="11536" max="11536" width="16.7109375" style="6" customWidth="1"/>
    <col min="11537" max="11777" width="9.140625" style="6"/>
    <col min="11778" max="11778" width="35.5703125" style="6" customWidth="1"/>
    <col min="11779" max="11779" width="23" style="6" customWidth="1"/>
    <col min="11780" max="11780" width="17.7109375" style="6" customWidth="1"/>
    <col min="11781" max="11781" width="18.42578125" style="6" customWidth="1"/>
    <col min="11782" max="11783" width="13.140625" style="6" customWidth="1"/>
    <col min="11784" max="11784" width="10.7109375" style="6" customWidth="1"/>
    <col min="11785" max="11785" width="40.85546875" style="6" customWidth="1"/>
    <col min="11786" max="11786" width="34.140625" style="6" customWidth="1"/>
    <col min="11787" max="11787" width="16" style="6" customWidth="1"/>
    <col min="11788" max="11788" width="15.7109375" style="6" customWidth="1"/>
    <col min="11789" max="11789" width="17.42578125" style="6" customWidth="1"/>
    <col min="11790" max="11790" width="10.7109375" style="6" customWidth="1"/>
    <col min="11791" max="11791" width="13" style="6" customWidth="1"/>
    <col min="11792" max="11792" width="16.7109375" style="6" customWidth="1"/>
    <col min="11793" max="12033" width="9.140625" style="6"/>
    <col min="12034" max="12034" width="35.5703125" style="6" customWidth="1"/>
    <col min="12035" max="12035" width="23" style="6" customWidth="1"/>
    <col min="12036" max="12036" width="17.7109375" style="6" customWidth="1"/>
    <col min="12037" max="12037" width="18.42578125" style="6" customWidth="1"/>
    <col min="12038" max="12039" width="13.140625" style="6" customWidth="1"/>
    <col min="12040" max="12040" width="10.7109375" style="6" customWidth="1"/>
    <col min="12041" max="12041" width="40.85546875" style="6" customWidth="1"/>
    <col min="12042" max="12042" width="34.140625" style="6" customWidth="1"/>
    <col min="12043" max="12043" width="16" style="6" customWidth="1"/>
    <col min="12044" max="12044" width="15.7109375" style="6" customWidth="1"/>
    <col min="12045" max="12045" width="17.42578125" style="6" customWidth="1"/>
    <col min="12046" max="12046" width="10.7109375" style="6" customWidth="1"/>
    <col min="12047" max="12047" width="13" style="6" customWidth="1"/>
    <col min="12048" max="12048" width="16.7109375" style="6" customWidth="1"/>
    <col min="12049" max="12289" width="9.140625" style="6"/>
    <col min="12290" max="12290" width="35.5703125" style="6" customWidth="1"/>
    <col min="12291" max="12291" width="23" style="6" customWidth="1"/>
    <col min="12292" max="12292" width="17.7109375" style="6" customWidth="1"/>
    <col min="12293" max="12293" width="18.42578125" style="6" customWidth="1"/>
    <col min="12294" max="12295" width="13.140625" style="6" customWidth="1"/>
    <col min="12296" max="12296" width="10.7109375" style="6" customWidth="1"/>
    <col min="12297" max="12297" width="40.85546875" style="6" customWidth="1"/>
    <col min="12298" max="12298" width="34.140625" style="6" customWidth="1"/>
    <col min="12299" max="12299" width="16" style="6" customWidth="1"/>
    <col min="12300" max="12300" width="15.7109375" style="6" customWidth="1"/>
    <col min="12301" max="12301" width="17.42578125" style="6" customWidth="1"/>
    <col min="12302" max="12302" width="10.7109375" style="6" customWidth="1"/>
    <col min="12303" max="12303" width="13" style="6" customWidth="1"/>
    <col min="12304" max="12304" width="16.7109375" style="6" customWidth="1"/>
    <col min="12305" max="12545" width="9.140625" style="6"/>
    <col min="12546" max="12546" width="35.5703125" style="6" customWidth="1"/>
    <col min="12547" max="12547" width="23" style="6" customWidth="1"/>
    <col min="12548" max="12548" width="17.7109375" style="6" customWidth="1"/>
    <col min="12549" max="12549" width="18.42578125" style="6" customWidth="1"/>
    <col min="12550" max="12551" width="13.140625" style="6" customWidth="1"/>
    <col min="12552" max="12552" width="10.7109375" style="6" customWidth="1"/>
    <col min="12553" max="12553" width="40.85546875" style="6" customWidth="1"/>
    <col min="12554" max="12554" width="34.140625" style="6" customWidth="1"/>
    <col min="12555" max="12555" width="16" style="6" customWidth="1"/>
    <col min="12556" max="12556" width="15.7109375" style="6" customWidth="1"/>
    <col min="12557" max="12557" width="17.42578125" style="6" customWidth="1"/>
    <col min="12558" max="12558" width="10.7109375" style="6" customWidth="1"/>
    <col min="12559" max="12559" width="13" style="6" customWidth="1"/>
    <col min="12560" max="12560" width="16.7109375" style="6" customWidth="1"/>
    <col min="12561" max="12801" width="9.140625" style="6"/>
    <col min="12802" max="12802" width="35.5703125" style="6" customWidth="1"/>
    <col min="12803" max="12803" width="23" style="6" customWidth="1"/>
    <col min="12804" max="12804" width="17.7109375" style="6" customWidth="1"/>
    <col min="12805" max="12805" width="18.42578125" style="6" customWidth="1"/>
    <col min="12806" max="12807" width="13.140625" style="6" customWidth="1"/>
    <col min="12808" max="12808" width="10.7109375" style="6" customWidth="1"/>
    <col min="12809" max="12809" width="40.85546875" style="6" customWidth="1"/>
    <col min="12810" max="12810" width="34.140625" style="6" customWidth="1"/>
    <col min="12811" max="12811" width="16" style="6" customWidth="1"/>
    <col min="12812" max="12812" width="15.7109375" style="6" customWidth="1"/>
    <col min="12813" max="12813" width="17.42578125" style="6" customWidth="1"/>
    <col min="12814" max="12814" width="10.7109375" style="6" customWidth="1"/>
    <col min="12815" max="12815" width="13" style="6" customWidth="1"/>
    <col min="12816" max="12816" width="16.7109375" style="6" customWidth="1"/>
    <col min="12817" max="13057" width="9.140625" style="6"/>
    <col min="13058" max="13058" width="35.5703125" style="6" customWidth="1"/>
    <col min="13059" max="13059" width="23" style="6" customWidth="1"/>
    <col min="13060" max="13060" width="17.7109375" style="6" customWidth="1"/>
    <col min="13061" max="13061" width="18.42578125" style="6" customWidth="1"/>
    <col min="13062" max="13063" width="13.140625" style="6" customWidth="1"/>
    <col min="13064" max="13064" width="10.7109375" style="6" customWidth="1"/>
    <col min="13065" max="13065" width="40.85546875" style="6" customWidth="1"/>
    <col min="13066" max="13066" width="34.140625" style="6" customWidth="1"/>
    <col min="13067" max="13067" width="16" style="6" customWidth="1"/>
    <col min="13068" max="13068" width="15.7109375" style="6" customWidth="1"/>
    <col min="13069" max="13069" width="17.42578125" style="6" customWidth="1"/>
    <col min="13070" max="13070" width="10.7109375" style="6" customWidth="1"/>
    <col min="13071" max="13071" width="13" style="6" customWidth="1"/>
    <col min="13072" max="13072" width="16.7109375" style="6" customWidth="1"/>
    <col min="13073" max="13313" width="9.140625" style="6"/>
    <col min="13314" max="13314" width="35.5703125" style="6" customWidth="1"/>
    <col min="13315" max="13315" width="23" style="6" customWidth="1"/>
    <col min="13316" max="13316" width="17.7109375" style="6" customWidth="1"/>
    <col min="13317" max="13317" width="18.42578125" style="6" customWidth="1"/>
    <col min="13318" max="13319" width="13.140625" style="6" customWidth="1"/>
    <col min="13320" max="13320" width="10.7109375" style="6" customWidth="1"/>
    <col min="13321" max="13321" width="40.85546875" style="6" customWidth="1"/>
    <col min="13322" max="13322" width="34.140625" style="6" customWidth="1"/>
    <col min="13323" max="13323" width="16" style="6" customWidth="1"/>
    <col min="13324" max="13324" width="15.7109375" style="6" customWidth="1"/>
    <col min="13325" max="13325" width="17.42578125" style="6" customWidth="1"/>
    <col min="13326" max="13326" width="10.7109375" style="6" customWidth="1"/>
    <col min="13327" max="13327" width="13" style="6" customWidth="1"/>
    <col min="13328" max="13328" width="16.7109375" style="6" customWidth="1"/>
    <col min="13329" max="13569" width="9.140625" style="6"/>
    <col min="13570" max="13570" width="35.5703125" style="6" customWidth="1"/>
    <col min="13571" max="13571" width="23" style="6" customWidth="1"/>
    <col min="13572" max="13572" width="17.7109375" style="6" customWidth="1"/>
    <col min="13573" max="13573" width="18.42578125" style="6" customWidth="1"/>
    <col min="13574" max="13575" width="13.140625" style="6" customWidth="1"/>
    <col min="13576" max="13576" width="10.7109375" style="6" customWidth="1"/>
    <col min="13577" max="13577" width="40.85546875" style="6" customWidth="1"/>
    <col min="13578" max="13578" width="34.140625" style="6" customWidth="1"/>
    <col min="13579" max="13579" width="16" style="6" customWidth="1"/>
    <col min="13580" max="13580" width="15.7109375" style="6" customWidth="1"/>
    <col min="13581" max="13581" width="17.42578125" style="6" customWidth="1"/>
    <col min="13582" max="13582" width="10.7109375" style="6" customWidth="1"/>
    <col min="13583" max="13583" width="13" style="6" customWidth="1"/>
    <col min="13584" max="13584" width="16.7109375" style="6" customWidth="1"/>
    <col min="13585" max="13825" width="9.140625" style="6"/>
    <col min="13826" max="13826" width="35.5703125" style="6" customWidth="1"/>
    <col min="13827" max="13827" width="23" style="6" customWidth="1"/>
    <col min="13828" max="13828" width="17.7109375" style="6" customWidth="1"/>
    <col min="13829" max="13829" width="18.42578125" style="6" customWidth="1"/>
    <col min="13830" max="13831" width="13.140625" style="6" customWidth="1"/>
    <col min="13832" max="13832" width="10.7109375" style="6" customWidth="1"/>
    <col min="13833" max="13833" width="40.85546875" style="6" customWidth="1"/>
    <col min="13834" max="13834" width="34.140625" style="6" customWidth="1"/>
    <col min="13835" max="13835" width="16" style="6" customWidth="1"/>
    <col min="13836" max="13836" width="15.7109375" style="6" customWidth="1"/>
    <col min="13837" max="13837" width="17.42578125" style="6" customWidth="1"/>
    <col min="13838" max="13838" width="10.7109375" style="6" customWidth="1"/>
    <col min="13839" max="13839" width="13" style="6" customWidth="1"/>
    <col min="13840" max="13840" width="16.7109375" style="6" customWidth="1"/>
    <col min="13841" max="14081" width="9.140625" style="6"/>
    <col min="14082" max="14082" width="35.5703125" style="6" customWidth="1"/>
    <col min="14083" max="14083" width="23" style="6" customWidth="1"/>
    <col min="14084" max="14084" width="17.7109375" style="6" customWidth="1"/>
    <col min="14085" max="14085" width="18.42578125" style="6" customWidth="1"/>
    <col min="14086" max="14087" width="13.140625" style="6" customWidth="1"/>
    <col min="14088" max="14088" width="10.7109375" style="6" customWidth="1"/>
    <col min="14089" max="14089" width="40.85546875" style="6" customWidth="1"/>
    <col min="14090" max="14090" width="34.140625" style="6" customWidth="1"/>
    <col min="14091" max="14091" width="16" style="6" customWidth="1"/>
    <col min="14092" max="14092" width="15.7109375" style="6" customWidth="1"/>
    <col min="14093" max="14093" width="17.42578125" style="6" customWidth="1"/>
    <col min="14094" max="14094" width="10.7109375" style="6" customWidth="1"/>
    <col min="14095" max="14095" width="13" style="6" customWidth="1"/>
    <col min="14096" max="14096" width="16.7109375" style="6" customWidth="1"/>
    <col min="14097" max="14337" width="9.140625" style="6"/>
    <col min="14338" max="14338" width="35.5703125" style="6" customWidth="1"/>
    <col min="14339" max="14339" width="23" style="6" customWidth="1"/>
    <col min="14340" max="14340" width="17.7109375" style="6" customWidth="1"/>
    <col min="14341" max="14341" width="18.42578125" style="6" customWidth="1"/>
    <col min="14342" max="14343" width="13.140625" style="6" customWidth="1"/>
    <col min="14344" max="14344" width="10.7109375" style="6" customWidth="1"/>
    <col min="14345" max="14345" width="40.85546875" style="6" customWidth="1"/>
    <col min="14346" max="14346" width="34.140625" style="6" customWidth="1"/>
    <col min="14347" max="14347" width="16" style="6" customWidth="1"/>
    <col min="14348" max="14348" width="15.7109375" style="6" customWidth="1"/>
    <col min="14349" max="14349" width="17.42578125" style="6" customWidth="1"/>
    <col min="14350" max="14350" width="10.7109375" style="6" customWidth="1"/>
    <col min="14351" max="14351" width="13" style="6" customWidth="1"/>
    <col min="14352" max="14352" width="16.7109375" style="6" customWidth="1"/>
    <col min="14353" max="14593" width="9.140625" style="6"/>
    <col min="14594" max="14594" width="35.5703125" style="6" customWidth="1"/>
    <col min="14595" max="14595" width="23" style="6" customWidth="1"/>
    <col min="14596" max="14596" width="17.7109375" style="6" customWidth="1"/>
    <col min="14597" max="14597" width="18.42578125" style="6" customWidth="1"/>
    <col min="14598" max="14599" width="13.140625" style="6" customWidth="1"/>
    <col min="14600" max="14600" width="10.7109375" style="6" customWidth="1"/>
    <col min="14601" max="14601" width="40.85546875" style="6" customWidth="1"/>
    <col min="14602" max="14602" width="34.140625" style="6" customWidth="1"/>
    <col min="14603" max="14603" width="16" style="6" customWidth="1"/>
    <col min="14604" max="14604" width="15.7109375" style="6" customWidth="1"/>
    <col min="14605" max="14605" width="17.42578125" style="6" customWidth="1"/>
    <col min="14606" max="14606" width="10.7109375" style="6" customWidth="1"/>
    <col min="14607" max="14607" width="13" style="6" customWidth="1"/>
    <col min="14608" max="14608" width="16.7109375" style="6" customWidth="1"/>
    <col min="14609" max="14849" width="9.140625" style="6"/>
    <col min="14850" max="14850" width="35.5703125" style="6" customWidth="1"/>
    <col min="14851" max="14851" width="23" style="6" customWidth="1"/>
    <col min="14852" max="14852" width="17.7109375" style="6" customWidth="1"/>
    <col min="14853" max="14853" width="18.42578125" style="6" customWidth="1"/>
    <col min="14854" max="14855" width="13.140625" style="6" customWidth="1"/>
    <col min="14856" max="14856" width="10.7109375" style="6" customWidth="1"/>
    <col min="14857" max="14857" width="40.85546875" style="6" customWidth="1"/>
    <col min="14858" max="14858" width="34.140625" style="6" customWidth="1"/>
    <col min="14859" max="14859" width="16" style="6" customWidth="1"/>
    <col min="14860" max="14860" width="15.7109375" style="6" customWidth="1"/>
    <col min="14861" max="14861" width="17.42578125" style="6" customWidth="1"/>
    <col min="14862" max="14862" width="10.7109375" style="6" customWidth="1"/>
    <col min="14863" max="14863" width="13" style="6" customWidth="1"/>
    <col min="14864" max="14864" width="16.7109375" style="6" customWidth="1"/>
    <col min="14865" max="15105" width="9.140625" style="6"/>
    <col min="15106" max="15106" width="35.5703125" style="6" customWidth="1"/>
    <col min="15107" max="15107" width="23" style="6" customWidth="1"/>
    <col min="15108" max="15108" width="17.7109375" style="6" customWidth="1"/>
    <col min="15109" max="15109" width="18.42578125" style="6" customWidth="1"/>
    <col min="15110" max="15111" width="13.140625" style="6" customWidth="1"/>
    <col min="15112" max="15112" width="10.7109375" style="6" customWidth="1"/>
    <col min="15113" max="15113" width="40.85546875" style="6" customWidth="1"/>
    <col min="15114" max="15114" width="34.140625" style="6" customWidth="1"/>
    <col min="15115" max="15115" width="16" style="6" customWidth="1"/>
    <col min="15116" max="15116" width="15.7109375" style="6" customWidth="1"/>
    <col min="15117" max="15117" width="17.42578125" style="6" customWidth="1"/>
    <col min="15118" max="15118" width="10.7109375" style="6" customWidth="1"/>
    <col min="15119" max="15119" width="13" style="6" customWidth="1"/>
    <col min="15120" max="15120" width="16.7109375" style="6" customWidth="1"/>
    <col min="15121" max="15361" width="9.140625" style="6"/>
    <col min="15362" max="15362" width="35.5703125" style="6" customWidth="1"/>
    <col min="15363" max="15363" width="23" style="6" customWidth="1"/>
    <col min="15364" max="15364" width="17.7109375" style="6" customWidth="1"/>
    <col min="15365" max="15365" width="18.42578125" style="6" customWidth="1"/>
    <col min="15366" max="15367" width="13.140625" style="6" customWidth="1"/>
    <col min="15368" max="15368" width="10.7109375" style="6" customWidth="1"/>
    <col min="15369" max="15369" width="40.85546875" style="6" customWidth="1"/>
    <col min="15370" max="15370" width="34.140625" style="6" customWidth="1"/>
    <col min="15371" max="15371" width="16" style="6" customWidth="1"/>
    <col min="15372" max="15372" width="15.7109375" style="6" customWidth="1"/>
    <col min="15373" max="15373" width="17.42578125" style="6" customWidth="1"/>
    <col min="15374" max="15374" width="10.7109375" style="6" customWidth="1"/>
    <col min="15375" max="15375" width="13" style="6" customWidth="1"/>
    <col min="15376" max="15376" width="16.7109375" style="6" customWidth="1"/>
    <col min="15377" max="15617" width="9.140625" style="6"/>
    <col min="15618" max="15618" width="35.5703125" style="6" customWidth="1"/>
    <col min="15619" max="15619" width="23" style="6" customWidth="1"/>
    <col min="15620" max="15620" width="17.7109375" style="6" customWidth="1"/>
    <col min="15621" max="15621" width="18.42578125" style="6" customWidth="1"/>
    <col min="15622" max="15623" width="13.140625" style="6" customWidth="1"/>
    <col min="15624" max="15624" width="10.7109375" style="6" customWidth="1"/>
    <col min="15625" max="15625" width="40.85546875" style="6" customWidth="1"/>
    <col min="15626" max="15626" width="34.140625" style="6" customWidth="1"/>
    <col min="15627" max="15627" width="16" style="6" customWidth="1"/>
    <col min="15628" max="15628" width="15.7109375" style="6" customWidth="1"/>
    <col min="15629" max="15629" width="17.42578125" style="6" customWidth="1"/>
    <col min="15630" max="15630" width="10.7109375" style="6" customWidth="1"/>
    <col min="15631" max="15631" width="13" style="6" customWidth="1"/>
    <col min="15632" max="15632" width="16.7109375" style="6" customWidth="1"/>
    <col min="15633" max="15873" width="9.140625" style="6"/>
    <col min="15874" max="15874" width="35.5703125" style="6" customWidth="1"/>
    <col min="15875" max="15875" width="23" style="6" customWidth="1"/>
    <col min="15876" max="15876" width="17.7109375" style="6" customWidth="1"/>
    <col min="15877" max="15877" width="18.42578125" style="6" customWidth="1"/>
    <col min="15878" max="15879" width="13.140625" style="6" customWidth="1"/>
    <col min="15880" max="15880" width="10.7109375" style="6" customWidth="1"/>
    <col min="15881" max="15881" width="40.85546875" style="6" customWidth="1"/>
    <col min="15882" max="15882" width="34.140625" style="6" customWidth="1"/>
    <col min="15883" max="15883" width="16" style="6" customWidth="1"/>
    <col min="15884" max="15884" width="15.7109375" style="6" customWidth="1"/>
    <col min="15885" max="15885" width="17.42578125" style="6" customWidth="1"/>
    <col min="15886" max="15886" width="10.7109375" style="6" customWidth="1"/>
    <col min="15887" max="15887" width="13" style="6" customWidth="1"/>
    <col min="15888" max="15888" width="16.7109375" style="6" customWidth="1"/>
    <col min="15889" max="16129" width="9.140625" style="6"/>
    <col min="16130" max="16130" width="35.5703125" style="6" customWidth="1"/>
    <col min="16131" max="16131" width="23" style="6" customWidth="1"/>
    <col min="16132" max="16132" width="17.7109375" style="6" customWidth="1"/>
    <col min="16133" max="16133" width="18.42578125" style="6" customWidth="1"/>
    <col min="16134" max="16135" width="13.140625" style="6" customWidth="1"/>
    <col min="16136" max="16136" width="10.7109375" style="6" customWidth="1"/>
    <col min="16137" max="16137" width="40.85546875" style="6" customWidth="1"/>
    <col min="16138" max="16138" width="34.140625" style="6" customWidth="1"/>
    <col min="16139" max="16139" width="16" style="6" customWidth="1"/>
    <col min="16140" max="16140" width="15.7109375" style="6" customWidth="1"/>
    <col min="16141" max="16141" width="17.42578125" style="6" customWidth="1"/>
    <col min="16142" max="16142" width="10.7109375" style="6" customWidth="1"/>
    <col min="16143" max="16143" width="13" style="6" customWidth="1"/>
    <col min="16144" max="16144" width="16.7109375" style="6" customWidth="1"/>
    <col min="16145" max="16384" width="9.140625" style="6"/>
  </cols>
  <sheetData>
    <row r="1" spans="1:29" s="9" customFormat="1" ht="41.25" customHeight="1" x14ac:dyDescent="0.3">
      <c r="A1" s="540" t="s">
        <v>70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29" s="9" customFormat="1" ht="24" customHeight="1" x14ac:dyDescent="0.3">
      <c r="A2" s="547" t="s">
        <v>368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</row>
    <row r="3" spans="1:29" ht="23.25" customHeight="1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29" s="11" customFormat="1" ht="65.25" customHeight="1" x14ac:dyDescent="0.25">
      <c r="A4" s="541" t="s">
        <v>53</v>
      </c>
      <c r="B4" s="497" t="s">
        <v>54</v>
      </c>
      <c r="C4" s="497"/>
      <c r="D4" s="159" t="s">
        <v>366</v>
      </c>
      <c r="E4" s="159" t="s">
        <v>367</v>
      </c>
      <c r="F4" s="159" t="s">
        <v>59</v>
      </c>
      <c r="G4" s="45"/>
      <c r="H4" s="541" t="s">
        <v>53</v>
      </c>
      <c r="I4" s="497" t="s">
        <v>55</v>
      </c>
      <c r="J4" s="497"/>
      <c r="K4" s="159" t="s">
        <v>366</v>
      </c>
      <c r="L4" s="159" t="s">
        <v>367</v>
      </c>
      <c r="M4" s="159" t="s">
        <v>207</v>
      </c>
    </row>
    <row r="5" spans="1:29" s="11" customFormat="1" ht="37.9" customHeight="1" x14ac:dyDescent="0.25">
      <c r="A5" s="541"/>
      <c r="B5" s="542" t="s">
        <v>369</v>
      </c>
      <c r="C5" s="542"/>
      <c r="D5" s="64">
        <f>'Anexo 1. Fontes e Aplicações'!C11</f>
        <v>940785.83</v>
      </c>
      <c r="E5" s="64">
        <f>'Anexo 1. Fontes e Aplicações'!F11</f>
        <v>1217204.9800000002</v>
      </c>
      <c r="F5" s="65">
        <f>IFERROR(E5/D5*100-100,0)</f>
        <v>29.381729739700717</v>
      </c>
      <c r="G5" s="48"/>
      <c r="H5" s="541"/>
      <c r="I5" s="543" t="s">
        <v>76</v>
      </c>
      <c r="J5" s="543"/>
      <c r="K5" s="61">
        <v>863900</v>
      </c>
      <c r="L5" s="49">
        <f>'Anexo 4.Quadro Descritivo.'!G20+'Anexo 4.Quadro Descritivo.'!G21+'Anexo 4.Quadro Descritivo.'!G50+'Anexo 4.Quadro Descritivo.'!G51+'Anexo 4.Quadro Descritivo.'!G65+'Anexo 4.Quadro Descritivo.'!G66+'Anexo 4.Quadro Descritivo.'!G67+'Anexo 4.Quadro Descritivo.'!G82+'Anexo 4.Quadro Descritivo.'!G83+'Anexo 4.Quadro Descritivo.'!G84+'Anexo 4.Quadro Descritivo.'!G52+'Anexo 4.Quadro Descritivo.'!G22</f>
        <v>900050</v>
      </c>
      <c r="M5" s="50">
        <f>IFERROR(L5/K5*100-100,0)</f>
        <v>4.1845120963074294</v>
      </c>
      <c r="O5" s="493"/>
      <c r="P5" s="493"/>
      <c r="Q5" s="493"/>
      <c r="R5" s="493"/>
      <c r="S5" s="493"/>
      <c r="T5" s="493"/>
      <c r="U5" s="493"/>
      <c r="V5" s="493"/>
      <c r="W5" s="493"/>
    </row>
    <row r="6" spans="1:29" s="11" customFormat="1" ht="38.450000000000003" customHeight="1" x14ac:dyDescent="0.25">
      <c r="A6" s="541"/>
      <c r="B6" s="544" t="s">
        <v>56</v>
      </c>
      <c r="C6" s="544"/>
      <c r="D6" s="64">
        <f>'Anexo 1. Fontes e Aplicações'!C23</f>
        <v>466420.85</v>
      </c>
      <c r="E6" s="64">
        <f>'Anexo 1. Fontes e Aplicações'!F23</f>
        <v>360529.12</v>
      </c>
      <c r="F6" s="65">
        <f>IFERROR(E6/D6*100-100,0)</f>
        <v>-22.703043828336575</v>
      </c>
      <c r="G6" s="48"/>
      <c r="H6" s="541"/>
      <c r="I6" s="543" t="s">
        <v>71</v>
      </c>
      <c r="J6" s="543"/>
      <c r="K6" s="51">
        <v>81800</v>
      </c>
      <c r="L6" s="51">
        <f>'Anexo 4.Quadro Descritivo.'!G21+'Anexo 4.Quadro Descritivo.'!G51+'Anexo 4.Quadro Descritivo.'!G52+'Anexo 4.Quadro Descritivo.'!G66+'Anexo 4.Quadro Descritivo.'!G67+'Anexo 4.Quadro Descritivo.'!G83+'Anexo 4.Quadro Descritivo.'!G84</f>
        <v>84300</v>
      </c>
      <c r="M6" s="50">
        <f t="shared" ref="M6:M7" si="0">IFERROR(L6/K6*100-100,0)</f>
        <v>3.056234718826417</v>
      </c>
    </row>
    <row r="7" spans="1:29" s="11" customFormat="1" ht="39" customHeight="1" x14ac:dyDescent="0.25">
      <c r="A7" s="541"/>
      <c r="B7" s="545" t="s">
        <v>72</v>
      </c>
      <c r="C7" s="545"/>
      <c r="D7" s="160">
        <f>SUM(D5:D6)</f>
        <v>1407206.68</v>
      </c>
      <c r="E7" s="160">
        <f>SUM(E5:E6)</f>
        <v>1577734.1</v>
      </c>
      <c r="F7" s="161">
        <f>IFERROR(E7/D7*100-100,0)</f>
        <v>12.118150263470895</v>
      </c>
      <c r="G7" s="48"/>
      <c r="H7" s="541"/>
      <c r="I7" s="543" t="s">
        <v>73</v>
      </c>
      <c r="J7" s="543"/>
      <c r="K7" s="52">
        <f>'Anexo 1. Fontes e Aplicações'!C10</f>
        <v>1422000</v>
      </c>
      <c r="L7" s="52">
        <f>'Anexo 1. Fontes e Aplicações'!F10</f>
        <v>1600540.58</v>
      </c>
      <c r="M7" s="50">
        <f t="shared" si="0"/>
        <v>12.555596343178621</v>
      </c>
    </row>
    <row r="8" spans="1:29" s="11" customFormat="1" ht="38.25" customHeight="1" x14ac:dyDescent="0.25">
      <c r="A8" s="541"/>
      <c r="B8" s="544" t="s">
        <v>74</v>
      </c>
      <c r="C8" s="544"/>
      <c r="D8" s="46">
        <f>'Anexo 1. Fontes e Aplicações'!C33</f>
        <v>21343.51</v>
      </c>
      <c r="E8" s="46">
        <f>'Anexo 1. Fontes e Aplicações'!F33</f>
        <v>18670.79</v>
      </c>
      <c r="F8" s="47">
        <f>IFERROR(E8/D8*100-100,0)</f>
        <v>-12.522401423196087</v>
      </c>
      <c r="G8" s="48"/>
      <c r="H8" s="546"/>
      <c r="I8" s="546"/>
      <c r="J8" s="45"/>
      <c r="K8" s="53" t="b">
        <f>K7='Anexo 1. Fontes e Aplicações'!C10</f>
        <v>1</v>
      </c>
      <c r="L8" s="165" t="b">
        <f>L7='Anexo 1. Fontes e Aplicações'!F10</f>
        <v>1</v>
      </c>
      <c r="M8" s="165"/>
      <c r="N8" s="165"/>
      <c r="O8" s="165"/>
      <c r="P8" s="166"/>
    </row>
    <row r="9" spans="1:29" s="11" customFormat="1" ht="28.15" customHeight="1" x14ac:dyDescent="0.25">
      <c r="A9" s="541"/>
      <c r="B9" s="548" t="s">
        <v>90</v>
      </c>
      <c r="C9" s="548"/>
      <c r="D9" s="160">
        <f>D7-D8</f>
        <v>1385863.17</v>
      </c>
      <c r="E9" s="160">
        <f>E7-E8</f>
        <v>1559063.31</v>
      </c>
      <c r="F9" s="161">
        <f>IFERROR(E9/D9*100-100,0)</f>
        <v>12.497636400857687</v>
      </c>
      <c r="G9" s="55"/>
      <c r="H9" s="56"/>
      <c r="I9" s="56"/>
      <c r="J9" s="45"/>
      <c r="K9" s="54"/>
      <c r="L9" s="57"/>
      <c r="M9" s="54"/>
      <c r="N9" s="496"/>
      <c r="O9" s="496"/>
      <c r="P9" s="496"/>
    </row>
    <row r="10" spans="1:29" s="14" customFormat="1" ht="18.75" x14ac:dyDescent="0.25">
      <c r="A10" s="58"/>
      <c r="B10" s="59"/>
      <c r="C10" s="59"/>
      <c r="D10" s="55"/>
      <c r="E10" s="55"/>
      <c r="F10" s="54"/>
      <c r="G10" s="55"/>
      <c r="H10" s="56"/>
      <c r="I10" s="56"/>
      <c r="J10" s="45"/>
      <c r="K10" s="54"/>
      <c r="L10" s="57"/>
      <c r="M10" s="54"/>
      <c r="N10" s="13"/>
      <c r="O10" s="13"/>
      <c r="P10" s="13"/>
    </row>
    <row r="11" spans="1:29" s="11" customFormat="1" ht="50.1" customHeight="1" x14ac:dyDescent="0.25">
      <c r="A11" s="515" t="s">
        <v>81</v>
      </c>
      <c r="B11" s="497" t="s">
        <v>60</v>
      </c>
      <c r="C11" s="497"/>
      <c r="D11" s="159" t="s">
        <v>366</v>
      </c>
      <c r="E11" s="159" t="s">
        <v>367</v>
      </c>
      <c r="F11" s="159" t="s">
        <v>3</v>
      </c>
      <c r="G11" s="55"/>
      <c r="H11" s="497" t="s">
        <v>60</v>
      </c>
      <c r="I11" s="497"/>
      <c r="J11" s="497"/>
      <c r="K11" s="159" t="s">
        <v>366</v>
      </c>
      <c r="L11" s="159" t="s">
        <v>367</v>
      </c>
      <c r="M11" s="159" t="s">
        <v>82</v>
      </c>
      <c r="N11" s="15"/>
      <c r="O11" s="15"/>
      <c r="P11" s="15"/>
    </row>
    <row r="12" spans="1:29" s="11" customFormat="1" ht="39" customHeight="1" x14ac:dyDescent="0.25">
      <c r="A12" s="516"/>
      <c r="B12" s="498" t="s">
        <v>373</v>
      </c>
      <c r="C12" s="60" t="s">
        <v>57</v>
      </c>
      <c r="D12" s="162">
        <v>382683.88</v>
      </c>
      <c r="E12" s="163">
        <f>'Anexo 4.Quadro Descritivo.'!G74+'Anexo 4.Quadro Descritivo.'!G188</f>
        <v>420996.45</v>
      </c>
      <c r="F12" s="47">
        <f>IFERROR(E12/D12*100-100,)</f>
        <v>10.011545299477987</v>
      </c>
      <c r="G12" s="55"/>
      <c r="H12" s="500" t="s">
        <v>380</v>
      </c>
      <c r="I12" s="500"/>
      <c r="J12" s="60" t="s">
        <v>57</v>
      </c>
      <c r="K12" s="167">
        <f>(K5-K6)</f>
        <v>782100</v>
      </c>
      <c r="L12" s="168">
        <f>(L5-L6)</f>
        <v>815750</v>
      </c>
      <c r="M12" s="50">
        <f>IFERROR(L12/K12*100-100,0)</f>
        <v>4.3025188594808697</v>
      </c>
      <c r="O12" s="494"/>
      <c r="P12" s="494"/>
      <c r="Q12" s="494"/>
      <c r="R12" s="494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</row>
    <row r="13" spans="1:29" s="11" customFormat="1" ht="39" customHeight="1" x14ac:dyDescent="0.25">
      <c r="A13" s="516"/>
      <c r="B13" s="499"/>
      <c r="C13" s="164" t="s">
        <v>58</v>
      </c>
      <c r="D13" s="62">
        <f>IFERROR(D12/$D$9,0)</f>
        <v>0.27613395628372173</v>
      </c>
      <c r="E13" s="62">
        <f>IFERROR(E12/$E$9,0)</f>
        <v>0.27003165766244602</v>
      </c>
      <c r="F13" s="50">
        <f>(E13-D13)*100</f>
        <v>-0.61022986212757035</v>
      </c>
      <c r="G13" s="55"/>
      <c r="H13" s="500"/>
      <c r="I13" s="500"/>
      <c r="J13" s="164" t="s">
        <v>58</v>
      </c>
      <c r="K13" s="63">
        <f>IFERROR(K12/K7,)</f>
        <v>0.55000000000000004</v>
      </c>
      <c r="L13" s="63">
        <f>IFERROR(L12/L7,)</f>
        <v>0.50967155109556794</v>
      </c>
      <c r="M13" s="50">
        <f>(L13-K13)*100</f>
        <v>-4.0328448904432097</v>
      </c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</row>
    <row r="14" spans="1:29" s="11" customFormat="1" ht="39" customHeight="1" x14ac:dyDescent="0.25">
      <c r="A14" s="516"/>
      <c r="B14" s="501" t="s">
        <v>374</v>
      </c>
      <c r="C14" s="60" t="s">
        <v>57</v>
      </c>
      <c r="D14" s="162">
        <v>186700.74</v>
      </c>
      <c r="E14" s="163">
        <f>'Anexo 4.Quadro Descritivo.'!G57+'Anexo 4.Quadro Descritivo.'!G179</f>
        <v>187807.69000000003</v>
      </c>
      <c r="F14" s="47">
        <f>IFERROR(E14/D14*100-100,)</f>
        <v>0.59290070301811681</v>
      </c>
      <c r="G14" s="55"/>
      <c r="H14" s="518" t="s">
        <v>381</v>
      </c>
      <c r="I14" s="519"/>
      <c r="J14" s="60" t="s">
        <v>57</v>
      </c>
      <c r="K14" s="162">
        <v>18000</v>
      </c>
      <c r="L14" s="163">
        <f>'Anexo 4.Quadro Descritivo.'!G109</f>
        <v>25000</v>
      </c>
      <c r="M14" s="50">
        <f>IFERROR(L14/K14*100-100,0)</f>
        <v>38.888888888888886</v>
      </c>
    </row>
    <row r="15" spans="1:29" s="11" customFormat="1" ht="39" customHeight="1" x14ac:dyDescent="0.25">
      <c r="A15" s="516"/>
      <c r="B15" s="502"/>
      <c r="C15" s="164" t="s">
        <v>58</v>
      </c>
      <c r="D15" s="62">
        <f>IFERROR(D14/$D$9,0)</f>
        <v>0.13471801837406502</v>
      </c>
      <c r="E15" s="62">
        <f>IFERROR(E14/$E$9,0)</f>
        <v>0.12046187527817585</v>
      </c>
      <c r="F15" s="50">
        <f>(E15-D15)*100</f>
        <v>-1.4256143095889171</v>
      </c>
      <c r="G15" s="55"/>
      <c r="H15" s="520"/>
      <c r="I15" s="521"/>
      <c r="J15" s="164" t="s">
        <v>58</v>
      </c>
      <c r="K15" s="63">
        <f>IFERROR(K14/K5,)</f>
        <v>2.0835744877879384E-2</v>
      </c>
      <c r="L15" s="63">
        <f>IFERROR(L14/L5,)</f>
        <v>2.7776234653630355E-2</v>
      </c>
      <c r="M15" s="50">
        <f>(L15-K15)*100</f>
        <v>0.69404897757509709</v>
      </c>
    </row>
    <row r="16" spans="1:29" s="11" customFormat="1" ht="39" customHeight="1" x14ac:dyDescent="0.3">
      <c r="A16" s="516"/>
      <c r="B16" s="495" t="s">
        <v>375</v>
      </c>
      <c r="C16" s="60" t="s">
        <v>57</v>
      </c>
      <c r="D16" s="162">
        <v>102700</v>
      </c>
      <c r="E16" s="163">
        <f>'Anexo 4.Quadro Descritivo.'!G90</f>
        <v>110980</v>
      </c>
      <c r="F16" s="47">
        <f>IFERROR(E16/D16*100-100,)</f>
        <v>8.0623174294060362</v>
      </c>
      <c r="G16" s="55"/>
      <c r="H16" s="9"/>
      <c r="I16" s="9"/>
      <c r="J16" s="9"/>
      <c r="K16" s="9"/>
      <c r="L16" s="9"/>
      <c r="M16" s="9"/>
      <c r="N16" s="12"/>
    </row>
    <row r="17" spans="1:13" s="11" customFormat="1" ht="39" customHeight="1" x14ac:dyDescent="0.25">
      <c r="A17" s="516"/>
      <c r="B17" s="495"/>
      <c r="C17" s="164" t="s">
        <v>58</v>
      </c>
      <c r="D17" s="62">
        <f>IFERROR(D16/$D$9,0)</f>
        <v>7.4105440005307305E-2</v>
      </c>
      <c r="E17" s="62">
        <f>IFERROR(E16/$E$9,0)</f>
        <v>7.1183767386585467E-2</v>
      </c>
      <c r="F17" s="50">
        <f>(E17-D17)*100</f>
        <v>-0.29216726187218378</v>
      </c>
      <c r="G17" s="55"/>
      <c r="H17" s="522" t="s">
        <v>371</v>
      </c>
      <c r="I17" s="523"/>
      <c r="J17" s="523"/>
      <c r="K17" s="523"/>
      <c r="L17" s="523"/>
      <c r="M17" s="524"/>
    </row>
    <row r="18" spans="1:13" s="11" customFormat="1" ht="39" customHeight="1" x14ac:dyDescent="0.25">
      <c r="A18" s="516"/>
      <c r="B18" s="495" t="s">
        <v>376</v>
      </c>
      <c r="C18" s="60" t="s">
        <v>57</v>
      </c>
      <c r="D18" s="162">
        <v>22000</v>
      </c>
      <c r="E18" s="163">
        <f>'Anexo 4.Quadro Descritivo.'!G99</f>
        <v>30000</v>
      </c>
      <c r="F18" s="47">
        <f>IFERROR(E18/D18*100-100,)</f>
        <v>36.363636363636346</v>
      </c>
      <c r="G18" s="94"/>
      <c r="H18" s="525"/>
      <c r="I18" s="526"/>
      <c r="J18" s="526"/>
      <c r="K18" s="526"/>
      <c r="L18" s="526"/>
      <c r="M18" s="527"/>
    </row>
    <row r="19" spans="1:13" s="11" customFormat="1" ht="39" customHeight="1" x14ac:dyDescent="0.25">
      <c r="A19" s="516"/>
      <c r="B19" s="495"/>
      <c r="C19" s="164" t="s">
        <v>58</v>
      </c>
      <c r="D19" s="62">
        <f>IFERROR(D18/$D$9,0)</f>
        <v>1.587458305858579E-2</v>
      </c>
      <c r="E19" s="62">
        <f>IFERROR(E18/$E$9,0)</f>
        <v>1.9242323135678179E-2</v>
      </c>
      <c r="F19" s="50">
        <f>(E19-D19)*100</f>
        <v>0.33677400770923893</v>
      </c>
      <c r="G19" s="55"/>
      <c r="H19" s="528"/>
      <c r="I19" s="529"/>
      <c r="J19" s="529"/>
      <c r="K19" s="529"/>
      <c r="L19" s="529"/>
      <c r="M19" s="530"/>
    </row>
    <row r="20" spans="1:13" s="11" customFormat="1" ht="39" customHeight="1" x14ac:dyDescent="0.25">
      <c r="A20" s="516"/>
      <c r="B20" s="495" t="s">
        <v>377</v>
      </c>
      <c r="C20" s="60" t="s">
        <v>57</v>
      </c>
      <c r="D20" s="162">
        <v>556100</v>
      </c>
      <c r="E20" s="163">
        <f>'Anexo 4.Quadro Descritivo.'!G42+'Anexo 4.Quadro Descritivo.'!G99</f>
        <v>686033.78</v>
      </c>
      <c r="F20" s="47">
        <f>IFERROR(E20/D20*100-100,)</f>
        <v>23.365182521129285</v>
      </c>
      <c r="G20" s="55"/>
      <c r="H20" s="531" t="s">
        <v>372</v>
      </c>
      <c r="I20" s="532"/>
      <c r="J20" s="532"/>
      <c r="K20" s="532"/>
      <c r="L20" s="532"/>
      <c r="M20" s="533"/>
    </row>
    <row r="21" spans="1:13" s="11" customFormat="1" ht="39" customHeight="1" x14ac:dyDescent="0.25">
      <c r="A21" s="516"/>
      <c r="B21" s="495"/>
      <c r="C21" s="164" t="s">
        <v>58</v>
      </c>
      <c r="D21" s="62">
        <f>IFERROR(D20/$D$9,0)</f>
        <v>0.40126616540361632</v>
      </c>
      <c r="E21" s="62">
        <f>IFERROR(E20/$E$9,0)</f>
        <v>0.44002945589169179</v>
      </c>
      <c r="F21" s="50">
        <f>(E21-D21)*100</f>
        <v>3.8763290488075475</v>
      </c>
      <c r="G21" s="55"/>
      <c r="H21" s="534"/>
      <c r="I21" s="535"/>
      <c r="J21" s="535"/>
      <c r="K21" s="535"/>
      <c r="L21" s="535"/>
      <c r="M21" s="536"/>
    </row>
    <row r="22" spans="1:13" s="11" customFormat="1" ht="39" customHeight="1" x14ac:dyDescent="0.25">
      <c r="A22" s="516"/>
      <c r="B22" s="495" t="s">
        <v>378</v>
      </c>
      <c r="C22" s="60" t="s">
        <v>57</v>
      </c>
      <c r="D22" s="162">
        <v>32600</v>
      </c>
      <c r="E22" s="163">
        <f>'Anexo 4.Quadro Descritivo.'!G161</f>
        <v>90000</v>
      </c>
      <c r="F22" s="47">
        <f>IFERROR(E22/D22*100-100,)</f>
        <v>176.07361963190186</v>
      </c>
      <c r="G22" s="55"/>
      <c r="H22" s="537"/>
      <c r="I22" s="538"/>
      <c r="J22" s="538"/>
      <c r="K22" s="538"/>
      <c r="L22" s="538"/>
      <c r="M22" s="539"/>
    </row>
    <row r="23" spans="1:13" s="11" customFormat="1" ht="39" customHeight="1" x14ac:dyDescent="0.3">
      <c r="A23" s="516"/>
      <c r="B23" s="495"/>
      <c r="C23" s="164" t="s">
        <v>58</v>
      </c>
      <c r="D23" s="62">
        <f>IFERROR(D22/$D$9,0)</f>
        <v>2.3523245804995308E-2</v>
      </c>
      <c r="E23" s="62">
        <f>IFERROR(E22/$E$9,0)</f>
        <v>5.7726969407034534E-2</v>
      </c>
      <c r="F23" s="50">
        <f>(E23-D23)*100</f>
        <v>3.4203723602039231</v>
      </c>
      <c r="G23" s="55"/>
      <c r="H23" s="9"/>
      <c r="I23" s="9"/>
      <c r="J23" s="9"/>
      <c r="K23" s="9"/>
      <c r="L23" s="9"/>
      <c r="M23" s="9"/>
    </row>
    <row r="24" spans="1:13" s="11" customFormat="1" ht="39" customHeight="1" x14ac:dyDescent="0.3">
      <c r="A24" s="516"/>
      <c r="B24" s="495" t="s">
        <v>379</v>
      </c>
      <c r="C24" s="60" t="s">
        <v>57</v>
      </c>
      <c r="D24" s="162">
        <v>10000</v>
      </c>
      <c r="E24" s="163">
        <f>'Anexo 4.Quadro Descritivo.'!G197</f>
        <v>20000</v>
      </c>
      <c r="F24" s="47">
        <f>IFERROR(E24/D24*100-100,)</f>
        <v>100</v>
      </c>
      <c r="G24" s="55"/>
      <c r="H24" s="9"/>
      <c r="I24" s="9"/>
      <c r="J24" s="9"/>
      <c r="K24" s="9"/>
      <c r="L24" s="9"/>
      <c r="M24" s="9"/>
    </row>
    <row r="25" spans="1:13" s="11" customFormat="1" ht="39" customHeight="1" x14ac:dyDescent="0.3">
      <c r="A25" s="517"/>
      <c r="B25" s="495"/>
      <c r="C25" s="164" t="s">
        <v>58</v>
      </c>
      <c r="D25" s="62">
        <f>IFERROR(D24/$D$9,0)</f>
        <v>7.2157195720844508E-3</v>
      </c>
      <c r="E25" s="62">
        <f>IFERROR(E24/$E$9,0)</f>
        <v>1.2828215423785452E-2</v>
      </c>
      <c r="F25" s="50">
        <f>(E25-D25)*100</f>
        <v>0.56124958517010004</v>
      </c>
      <c r="G25" s="55"/>
      <c r="H25" s="9"/>
      <c r="I25" s="9"/>
      <c r="J25" s="9"/>
      <c r="K25" s="9"/>
      <c r="L25" s="9"/>
      <c r="M25" s="9"/>
    </row>
    <row r="26" spans="1:13" ht="19.5" thickBot="1" x14ac:dyDescent="0.35">
      <c r="A26" s="9"/>
      <c r="B26" s="10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</row>
    <row r="27" spans="1:13" ht="27" customHeight="1" thickBot="1" x14ac:dyDescent="0.3">
      <c r="A27" s="503" t="s">
        <v>370</v>
      </c>
      <c r="B27" s="504"/>
      <c r="C27" s="504"/>
      <c r="D27" s="504"/>
      <c r="E27" s="504"/>
      <c r="F27" s="504"/>
      <c r="G27" s="504"/>
      <c r="H27" s="504"/>
      <c r="I27" s="504"/>
      <c r="J27" s="504"/>
      <c r="K27" s="504"/>
      <c r="L27" s="504"/>
      <c r="M27" s="505"/>
    </row>
    <row r="28" spans="1:13" x14ac:dyDescent="0.25">
      <c r="A28" s="506" t="s">
        <v>559</v>
      </c>
      <c r="B28" s="507"/>
      <c r="C28" s="507"/>
      <c r="D28" s="507"/>
      <c r="E28" s="507"/>
      <c r="F28" s="507"/>
      <c r="G28" s="507"/>
      <c r="H28" s="507"/>
      <c r="I28" s="507"/>
      <c r="J28" s="507"/>
      <c r="K28" s="507"/>
      <c r="L28" s="507"/>
      <c r="M28" s="508"/>
    </row>
    <row r="29" spans="1:13" x14ac:dyDescent="0.25">
      <c r="A29" s="509"/>
      <c r="B29" s="510"/>
      <c r="C29" s="510"/>
      <c r="D29" s="510"/>
      <c r="E29" s="510"/>
      <c r="F29" s="510"/>
      <c r="G29" s="510"/>
      <c r="H29" s="510"/>
      <c r="I29" s="510"/>
      <c r="J29" s="510"/>
      <c r="K29" s="510"/>
      <c r="L29" s="510"/>
      <c r="M29" s="511"/>
    </row>
    <row r="30" spans="1:13" x14ac:dyDescent="0.25">
      <c r="A30" s="509"/>
      <c r="B30" s="510"/>
      <c r="C30" s="510"/>
      <c r="D30" s="510"/>
      <c r="E30" s="510"/>
      <c r="F30" s="510"/>
      <c r="G30" s="510"/>
      <c r="H30" s="510"/>
      <c r="I30" s="510"/>
      <c r="J30" s="510"/>
      <c r="K30" s="510"/>
      <c r="L30" s="510"/>
      <c r="M30" s="511"/>
    </row>
    <row r="31" spans="1:13" x14ac:dyDescent="0.25">
      <c r="A31" s="509"/>
      <c r="B31" s="510"/>
      <c r="C31" s="510"/>
      <c r="D31" s="510"/>
      <c r="E31" s="510"/>
      <c r="F31" s="510"/>
      <c r="G31" s="510"/>
      <c r="H31" s="510"/>
      <c r="I31" s="510"/>
      <c r="J31" s="510"/>
      <c r="K31" s="510"/>
      <c r="L31" s="510"/>
      <c r="M31" s="511"/>
    </row>
    <row r="32" spans="1:13" x14ac:dyDescent="0.25">
      <c r="A32" s="509"/>
      <c r="B32" s="510"/>
      <c r="C32" s="510"/>
      <c r="D32" s="510"/>
      <c r="E32" s="510"/>
      <c r="F32" s="510"/>
      <c r="G32" s="510"/>
      <c r="H32" s="510"/>
      <c r="I32" s="510"/>
      <c r="J32" s="510"/>
      <c r="K32" s="510"/>
      <c r="L32" s="510"/>
      <c r="M32" s="511"/>
    </row>
    <row r="33" spans="1:13" x14ac:dyDescent="0.25">
      <c r="A33" s="509"/>
      <c r="B33" s="510"/>
      <c r="C33" s="510"/>
      <c r="D33" s="510"/>
      <c r="E33" s="510"/>
      <c r="F33" s="510"/>
      <c r="G33" s="510"/>
      <c r="H33" s="510"/>
      <c r="I33" s="510"/>
      <c r="J33" s="510"/>
      <c r="K33" s="510"/>
      <c r="L33" s="510"/>
      <c r="M33" s="511"/>
    </row>
    <row r="34" spans="1:13" ht="15.75" thickBot="1" x14ac:dyDescent="0.3">
      <c r="A34" s="512"/>
      <c r="B34" s="513"/>
      <c r="C34" s="513"/>
      <c r="D34" s="513"/>
      <c r="E34" s="513"/>
      <c r="F34" s="513"/>
      <c r="G34" s="513"/>
      <c r="H34" s="513"/>
      <c r="I34" s="513"/>
      <c r="J34" s="513"/>
      <c r="K34" s="513"/>
      <c r="L34" s="513"/>
      <c r="M34" s="514"/>
    </row>
    <row r="35" spans="1:13" ht="18.75" x14ac:dyDescent="0.3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</row>
  </sheetData>
  <sheetProtection selectLockedCells="1"/>
  <mergeCells count="34">
    <mergeCell ref="A1:M1"/>
    <mergeCell ref="A4:A9"/>
    <mergeCell ref="B4:C4"/>
    <mergeCell ref="H4:H7"/>
    <mergeCell ref="I4:J4"/>
    <mergeCell ref="B5:C5"/>
    <mergeCell ref="I5:J5"/>
    <mergeCell ref="B6:C6"/>
    <mergeCell ref="I6:J6"/>
    <mergeCell ref="B7:C7"/>
    <mergeCell ref="I7:J7"/>
    <mergeCell ref="B8:C8"/>
    <mergeCell ref="H8:I8"/>
    <mergeCell ref="A2:M2"/>
    <mergeCell ref="B9:C9"/>
    <mergeCell ref="A27:M27"/>
    <mergeCell ref="A28:M34"/>
    <mergeCell ref="A11:A25"/>
    <mergeCell ref="H14:I15"/>
    <mergeCell ref="B16:B17"/>
    <mergeCell ref="H17:M19"/>
    <mergeCell ref="H20:M22"/>
    <mergeCell ref="O5:W5"/>
    <mergeCell ref="O12:R12"/>
    <mergeCell ref="B22:B23"/>
    <mergeCell ref="B20:B21"/>
    <mergeCell ref="B24:B25"/>
    <mergeCell ref="N9:P9"/>
    <mergeCell ref="B11:C11"/>
    <mergeCell ref="H11:J11"/>
    <mergeCell ref="B12:B13"/>
    <mergeCell ref="H12:I13"/>
    <mergeCell ref="B14:B15"/>
    <mergeCell ref="B18:B19"/>
  </mergeCells>
  <conditionalFormatting sqref="K8:L8">
    <cfRule type="cellIs" dxfId="4" priority="1" operator="equal">
      <formula>$L$8</formula>
    </cfRule>
  </conditionalFormatting>
  <pageMargins left="0.51181102362204722" right="0.51181102362204722" top="0.35433070866141736" bottom="0.78740157480314965" header="0.31496062992125984" footer="0.31496062992125984"/>
  <pageSetup paperSize="9" scale="50" fitToHeight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77777"/>
  </sheetPr>
  <dimension ref="A1:AB35"/>
  <sheetViews>
    <sheetView showGridLines="0" zoomScale="50" zoomScaleNormal="50" workbookViewId="0">
      <selection activeCell="F12" sqref="F12"/>
    </sheetView>
  </sheetViews>
  <sheetFormatPr defaultColWidth="16.42578125" defaultRowHeight="26.25" x14ac:dyDescent="0.4"/>
  <cols>
    <col min="1" max="1" width="25.28515625" style="69" customWidth="1"/>
    <col min="2" max="2" width="16.5703125" style="69" bestFit="1" customWidth="1"/>
    <col min="3" max="3" width="32.140625" style="69" customWidth="1"/>
    <col min="4" max="4" width="27.7109375" style="69" customWidth="1"/>
    <col min="5" max="5" width="5.85546875" style="69" customWidth="1"/>
    <col min="6" max="14" width="25.7109375" style="69" customWidth="1"/>
    <col min="15" max="15" width="27.7109375" style="69" customWidth="1"/>
    <col min="16" max="16" width="25.7109375" style="69" customWidth="1"/>
    <col min="17" max="17" width="27.7109375" style="69" customWidth="1"/>
    <col min="18" max="18" width="12.28515625" style="69" customWidth="1"/>
    <col min="19" max="19" width="22.85546875" style="69" bestFit="1" customWidth="1"/>
    <col min="20" max="16384" width="16.42578125" style="69"/>
  </cols>
  <sheetData>
    <row r="1" spans="1:28" s="170" customFormat="1" ht="56.1" customHeight="1" x14ac:dyDescent="0.25">
      <c r="A1" s="169" t="s">
        <v>382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U1" s="171"/>
      <c r="V1" s="172"/>
    </row>
    <row r="2" spans="1:28" ht="56.1" customHeight="1" x14ac:dyDescent="0.4">
      <c r="A2" s="549" t="s">
        <v>62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U2" s="173"/>
      <c r="V2" s="174"/>
    </row>
    <row r="3" spans="1:28" ht="56.1" customHeight="1" x14ac:dyDescent="0.4">
      <c r="A3" s="550" t="s">
        <v>385</v>
      </c>
      <c r="B3" s="551"/>
      <c r="C3" s="551"/>
      <c r="D3" s="551"/>
      <c r="E3" s="551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  <c r="Q3" s="552"/>
      <c r="R3" s="553"/>
      <c r="U3" s="173"/>
      <c r="V3" s="174"/>
    </row>
    <row r="4" spans="1:28" x14ac:dyDescent="0.4">
      <c r="A4" s="175"/>
      <c r="B4" s="175"/>
      <c r="C4" s="175"/>
      <c r="D4" s="175"/>
      <c r="E4" s="175"/>
      <c r="F4" s="175"/>
      <c r="G4" s="175"/>
    </row>
    <row r="5" spans="1:28" s="177" customFormat="1" ht="56.1" customHeight="1" x14ac:dyDescent="0.4">
      <c r="A5" s="554" t="s">
        <v>4</v>
      </c>
      <c r="B5" s="554" t="s">
        <v>196</v>
      </c>
      <c r="C5" s="555" t="s">
        <v>43</v>
      </c>
      <c r="D5" s="555" t="s">
        <v>341</v>
      </c>
      <c r="E5" s="176"/>
      <c r="F5" s="556" t="s">
        <v>1</v>
      </c>
      <c r="G5" s="556"/>
      <c r="H5" s="555" t="s">
        <v>44</v>
      </c>
      <c r="I5" s="557" t="s">
        <v>45</v>
      </c>
      <c r="J5" s="558"/>
      <c r="K5" s="558"/>
      <c r="L5" s="559" t="s">
        <v>181</v>
      </c>
      <c r="M5" s="575" t="s">
        <v>383</v>
      </c>
      <c r="N5" s="575" t="s">
        <v>46</v>
      </c>
      <c r="O5" s="575" t="s">
        <v>47</v>
      </c>
      <c r="P5" s="555" t="s">
        <v>2</v>
      </c>
      <c r="Q5" s="556" t="s">
        <v>0</v>
      </c>
      <c r="R5" s="556" t="s">
        <v>48</v>
      </c>
      <c r="S5" s="569"/>
      <c r="U5" s="178"/>
      <c r="V5" s="179"/>
    </row>
    <row r="6" spans="1:28" s="177" customFormat="1" ht="56.1" customHeight="1" x14ac:dyDescent="0.4">
      <c r="A6" s="554"/>
      <c r="B6" s="554"/>
      <c r="C6" s="555"/>
      <c r="D6" s="555"/>
      <c r="E6" s="176"/>
      <c r="F6" s="180" t="s">
        <v>75</v>
      </c>
      <c r="G6" s="180" t="s">
        <v>49</v>
      </c>
      <c r="H6" s="555"/>
      <c r="I6" s="180" t="s">
        <v>49</v>
      </c>
      <c r="J6" s="180" t="s">
        <v>50</v>
      </c>
      <c r="K6" s="180" t="s">
        <v>51</v>
      </c>
      <c r="L6" s="559"/>
      <c r="M6" s="575"/>
      <c r="N6" s="575"/>
      <c r="O6" s="575"/>
      <c r="P6" s="555"/>
      <c r="Q6" s="556"/>
      <c r="R6" s="556"/>
      <c r="S6" s="569"/>
      <c r="T6" s="341"/>
      <c r="U6" s="341"/>
      <c r="V6" s="341"/>
      <c r="W6" s="341"/>
      <c r="X6" s="341"/>
      <c r="Y6" s="341"/>
      <c r="Z6" s="341"/>
      <c r="AA6" s="341"/>
      <c r="AB6" s="341"/>
    </row>
    <row r="7" spans="1:28" ht="56.1" customHeight="1" x14ac:dyDescent="0.4">
      <c r="A7" s="181" t="str">
        <f>'Quadro Geral'!A9</f>
        <v>Presidência</v>
      </c>
      <c r="B7" s="182">
        <f>'Quadro Geral'!D9</f>
        <v>0</v>
      </c>
      <c r="C7" s="183" t="str">
        <f>'Quadro Geral'!E9</f>
        <v>Contribuição ao fundo nacional de apoio aos CAU/Ufs</v>
      </c>
      <c r="D7" s="184">
        <f>'Quadro Geral'!M9</f>
        <v>18670.79</v>
      </c>
      <c r="E7" s="176"/>
      <c r="F7" s="185"/>
      <c r="G7" s="185"/>
      <c r="H7" s="185"/>
      <c r="I7" s="185"/>
      <c r="J7" s="185"/>
      <c r="K7" s="185"/>
      <c r="L7" s="185">
        <f>'Anexo 4.Quadro Descritivo.'!G169</f>
        <v>18670.79</v>
      </c>
      <c r="M7" s="185"/>
      <c r="N7" s="185"/>
      <c r="O7" s="186">
        <f>SUM(F7:N7)</f>
        <v>18670.79</v>
      </c>
      <c r="P7" s="185"/>
      <c r="Q7" s="186">
        <f>O7+P7</f>
        <v>18670.79</v>
      </c>
      <c r="R7" s="187">
        <f t="shared" ref="R7:R20" si="0">IFERROR(Q7/$Q$21*100,0)</f>
        <v>1.1257360974550288</v>
      </c>
      <c r="S7" s="69" t="b">
        <f>D7=Q7</f>
        <v>1</v>
      </c>
      <c r="T7" s="188"/>
    </row>
    <row r="8" spans="1:28" ht="56.1" customHeight="1" x14ac:dyDescent="0.4">
      <c r="A8" s="181" t="str">
        <f>'Quadro Geral'!A10</f>
        <v>Presidência</v>
      </c>
      <c r="B8" s="182" t="str">
        <f>'Quadro Geral'!D10</f>
        <v>X</v>
      </c>
      <c r="C8" s="183" t="str">
        <f>'Quadro Geral'!E10</f>
        <v>Contribuição com as despesas do CSC-atendimento</v>
      </c>
      <c r="D8" s="184">
        <f>'Quadro Geral'!M10</f>
        <v>8158.23</v>
      </c>
      <c r="E8" s="176"/>
      <c r="F8" s="185"/>
      <c r="G8" s="185"/>
      <c r="H8" s="185"/>
      <c r="I8" s="185"/>
      <c r="J8" s="185"/>
      <c r="K8" s="185"/>
      <c r="L8" s="185">
        <f>'Anexo 4.Quadro Descritivo.'!G178</f>
        <v>8158.23</v>
      </c>
      <c r="M8" s="185"/>
      <c r="N8" s="185"/>
      <c r="O8" s="186">
        <f t="shared" ref="O8:O20" si="1">SUM(F8:N8)</f>
        <v>8158.23</v>
      </c>
      <c r="P8" s="185"/>
      <c r="Q8" s="186">
        <f t="shared" ref="Q8:Q20" si="2">O8+P8</f>
        <v>8158.23</v>
      </c>
      <c r="R8" s="187">
        <f t="shared" si="0"/>
        <v>0.49189209467518724</v>
      </c>
      <c r="S8" s="69" t="b">
        <f t="shared" ref="S8:S21" si="3">D8=Q8</f>
        <v>1</v>
      </c>
      <c r="T8" s="188"/>
    </row>
    <row r="9" spans="1:28" ht="56.1" customHeight="1" x14ac:dyDescent="0.4">
      <c r="A9" s="181" t="str">
        <f>'Quadro Geral'!A11</f>
        <v>Presidência</v>
      </c>
      <c r="B9" s="182" t="str">
        <f>'Quadro Geral'!D11</f>
        <v>X</v>
      </c>
      <c r="C9" s="183" t="str">
        <f>'Quadro Geral'!E11</f>
        <v>Contribuição com as despesas do CSC-fiscalização</v>
      </c>
      <c r="D9" s="184">
        <f>'Quadro Geral'!M11</f>
        <v>57886.45</v>
      </c>
      <c r="E9" s="176"/>
      <c r="F9" s="185"/>
      <c r="G9" s="185"/>
      <c r="H9" s="185"/>
      <c r="I9" s="185"/>
      <c r="J9" s="185"/>
      <c r="K9" s="185"/>
      <c r="L9" s="185">
        <f>'Anexo 4.Quadro Descritivo.'!G187</f>
        <v>57886.45</v>
      </c>
      <c r="M9" s="185"/>
      <c r="N9" s="185"/>
      <c r="O9" s="186">
        <f t="shared" si="1"/>
        <v>57886.45</v>
      </c>
      <c r="P9" s="185"/>
      <c r="Q9" s="186">
        <f t="shared" si="2"/>
        <v>57886.45</v>
      </c>
      <c r="R9" s="187">
        <f t="shared" si="0"/>
        <v>3.4902040202115523</v>
      </c>
      <c r="S9" s="69" t="b">
        <f t="shared" si="3"/>
        <v>1</v>
      </c>
      <c r="T9" s="188"/>
    </row>
    <row r="10" spans="1:28" ht="56.1" customHeight="1" x14ac:dyDescent="0.4">
      <c r="A10" s="181" t="str">
        <f>'Quadro Geral'!A12</f>
        <v>Presidência</v>
      </c>
      <c r="B10" s="182">
        <f>'Quadro Geral'!D12</f>
        <v>0</v>
      </c>
      <c r="C10" s="183" t="str">
        <f>'Quadro Geral'!E12</f>
        <v>Reserva de contingência</v>
      </c>
      <c r="D10" s="184">
        <f>'Quadro Geral'!M12</f>
        <v>20000</v>
      </c>
      <c r="E10" s="176"/>
      <c r="F10" s="185"/>
      <c r="G10" s="185"/>
      <c r="H10" s="185"/>
      <c r="I10" s="185"/>
      <c r="J10" s="185"/>
      <c r="K10" s="185"/>
      <c r="L10" s="185"/>
      <c r="M10" s="185">
        <f>'Anexo 4.Quadro Descritivo.'!G196</f>
        <v>20000</v>
      </c>
      <c r="N10" s="185"/>
      <c r="O10" s="186">
        <f t="shared" si="1"/>
        <v>20000</v>
      </c>
      <c r="P10" s="185"/>
      <c r="Q10" s="186">
        <f t="shared" si="2"/>
        <v>20000</v>
      </c>
      <c r="R10" s="187">
        <f t="shared" si="0"/>
        <v>1.2058794485450575</v>
      </c>
      <c r="S10" s="69" t="b">
        <f t="shared" si="3"/>
        <v>1</v>
      </c>
      <c r="T10" s="188"/>
    </row>
    <row r="11" spans="1:28" ht="56.1" customHeight="1" x14ac:dyDescent="0.4">
      <c r="A11" s="181" t="str">
        <f>'Quadro Geral'!A13</f>
        <v>Gerência Geral</v>
      </c>
      <c r="B11" s="182" t="str">
        <f>'Quadro Geral'!D13</f>
        <v>X</v>
      </c>
      <c r="C11" s="183" t="str">
        <f>'Quadro Geral'!E13</f>
        <v>Estrutura básica para o funcionamento do conselho</v>
      </c>
      <c r="D11" s="184">
        <f>'Quadro Geral'!M13</f>
        <v>656033.78</v>
      </c>
      <c r="E11" s="176"/>
      <c r="F11" s="185">
        <f>'Anexo 4.Quadro Descritivo.'!G20+'Anexo 4.Quadro Descritivo.'!G21+'Anexo 4.Quadro Descritivo.'!G22</f>
        <v>353310</v>
      </c>
      <c r="G11" s="185"/>
      <c r="H11" s="185">
        <f>'Anexo 4.Quadro Descritivo.'!G24</f>
        <v>6357.92</v>
      </c>
      <c r="I11" s="185"/>
      <c r="J11" s="185"/>
      <c r="K11" s="185">
        <f>'Anexo 4.Quadro Descritivo.'!G11+'Anexo 4.Quadro Descritivo.'!G12+'Anexo 4.Quadro Descritivo.'!G13+'Anexo 4.Quadro Descritivo.'!G14+'Anexo 4.Quadro Descritivo.'!G15+'Anexo 4.Quadro Descritivo.'!G16+'Anexo 4.Quadro Descritivo.'!G19+'Anexo 4.Quadro Descritivo.'!G23+'Anexo 4.Quadro Descritivo.'!G25+'Anexo 4.Quadro Descritivo.'!G26+'Anexo 4.Quadro Descritivo.'!G27+'Anexo 4.Quadro Descritivo.'!G28+'Anexo 4.Quadro Descritivo.'!G29+'Anexo 4.Quadro Descritivo.'!G30+'Anexo 4.Quadro Descritivo.'!G31+'Anexo 4.Quadro Descritivo.'!G32+'Anexo 4.Quadro Descritivo.'!G33+'Anexo 4.Quadro Descritivo.'!G34+'Anexo 4.Quadro Descritivo.'!G35+'Anexo 4.Quadro Descritivo.'!G36+'Anexo 4.Quadro Descritivo.'!G37+'Anexo 4.Quadro Descritivo.'!G38+'Anexo 4.Quadro Descritivo.'!G39</f>
        <v>214897.3</v>
      </c>
      <c r="L11" s="185"/>
      <c r="M11" s="185"/>
      <c r="N11" s="185">
        <f>'Anexo 4.Quadro Descritivo.'!G17+'Anexo 4.Quadro Descritivo.'!G18</f>
        <v>23468.559999999998</v>
      </c>
      <c r="O11" s="186">
        <f t="shared" si="1"/>
        <v>598033.78</v>
      </c>
      <c r="P11" s="185">
        <f>'Anexo 4.Quadro Descritivo.'!G40+'Anexo 4.Quadro Descritivo.'!G41</f>
        <v>58000</v>
      </c>
      <c r="Q11" s="186">
        <f t="shared" si="2"/>
        <v>656033.78</v>
      </c>
      <c r="R11" s="187">
        <f t="shared" si="0"/>
        <v>39.554882642666485</v>
      </c>
      <c r="S11" s="69" t="b">
        <f t="shared" si="3"/>
        <v>1</v>
      </c>
      <c r="T11" s="188"/>
    </row>
    <row r="12" spans="1:28" ht="56.1" customHeight="1" x14ac:dyDescent="0.4">
      <c r="A12" s="181" t="str">
        <f>'Quadro Geral'!A14</f>
        <v>Gerência Técnica</v>
      </c>
      <c r="B12" s="182" t="str">
        <f>'Quadro Geral'!D14</f>
        <v>X</v>
      </c>
      <c r="C12" s="183" t="str">
        <f>'Quadro Geral'!E14</f>
        <v>Atendimento de excelência no CAU/PI</v>
      </c>
      <c r="D12" s="184">
        <f>'Quadro Geral'!M14</f>
        <v>179649.46000000002</v>
      </c>
      <c r="E12" s="176"/>
      <c r="F12" s="185">
        <f>'Anexo 4.Quadro Descritivo.'!G50+'Anexo 4.Quadro Descritivo.'!G51+'Anexo 4.Quadro Descritivo.'!G52</f>
        <v>159650</v>
      </c>
      <c r="G12" s="185"/>
      <c r="H12" s="185"/>
      <c r="I12" s="185"/>
      <c r="J12" s="185"/>
      <c r="K12" s="185">
        <f>'Anexo 4.Quadro Descritivo.'!G53+'Anexo 4.Quadro Descritivo.'!G54+'Anexo 4.Quadro Descritivo.'!G55</f>
        <v>19999.46</v>
      </c>
      <c r="L12" s="185"/>
      <c r="M12" s="185"/>
      <c r="N12" s="185"/>
      <c r="O12" s="186">
        <f t="shared" si="1"/>
        <v>179649.46</v>
      </c>
      <c r="P12" s="185"/>
      <c r="Q12" s="186">
        <f t="shared" si="2"/>
        <v>179649.46</v>
      </c>
      <c r="R12" s="187">
        <f t="shared" si="0"/>
        <v>10.831779587810868</v>
      </c>
      <c r="S12" s="69" t="b">
        <f t="shared" si="3"/>
        <v>1</v>
      </c>
      <c r="T12" s="188"/>
    </row>
    <row r="13" spans="1:28" ht="56.1" customHeight="1" x14ac:dyDescent="0.4">
      <c r="A13" s="181" t="str">
        <f>'Quadro Geral'!A15</f>
        <v>Gerência Técnica</v>
      </c>
      <c r="B13" s="182" t="str">
        <f>'Quadro Geral'!D15</f>
        <v>X</v>
      </c>
      <c r="C13" s="183" t="str">
        <f>'Quadro Geral'!E15</f>
        <v>Instituição da fiscalização no CAU/PI</v>
      </c>
      <c r="D13" s="184">
        <f>'Quadro Geral'!M15</f>
        <v>363110</v>
      </c>
      <c r="E13" s="176"/>
      <c r="F13" s="185">
        <f>'Anexo 4.Quadro Descritivo.'!G65+'Anexo 4.Quadro Descritivo.'!G66+'Anexo 4.Quadro Descritivo.'!G67</f>
        <v>289010</v>
      </c>
      <c r="G13" s="185">
        <f>'Anexo 4.Quadro Descritivo.'!G70+'Anexo 4.Quadro Descritivo.'!G71</f>
        <v>39800</v>
      </c>
      <c r="H13" s="185"/>
      <c r="I13" s="185"/>
      <c r="J13" s="185">
        <f>'Anexo 4.Quadro Descritivo.'!G72</f>
        <v>4000</v>
      </c>
      <c r="K13" s="185">
        <f>'Anexo 4.Quadro Descritivo.'!G68+'Anexo 4.Quadro Descritivo.'!G69+'Anexo 4.Quadro Descritivo.'!G73</f>
        <v>30300</v>
      </c>
      <c r="L13" s="185"/>
      <c r="M13" s="185"/>
      <c r="N13" s="185"/>
      <c r="O13" s="186">
        <f t="shared" si="1"/>
        <v>363110</v>
      </c>
      <c r="P13" s="185"/>
      <c r="Q13" s="186">
        <f t="shared" si="2"/>
        <v>363110</v>
      </c>
      <c r="R13" s="187">
        <f t="shared" si="0"/>
        <v>21.89334432805979</v>
      </c>
      <c r="S13" s="69" t="b">
        <f t="shared" si="3"/>
        <v>1</v>
      </c>
      <c r="T13" s="188"/>
    </row>
    <row r="14" spans="1:28" ht="56.1" customHeight="1" x14ac:dyDescent="0.4">
      <c r="A14" s="181" t="str">
        <f>'Quadro Geral'!A16</f>
        <v>Gerência Geral</v>
      </c>
      <c r="B14" s="182" t="str">
        <f>'Quadro Geral'!D16</f>
        <v>X</v>
      </c>
      <c r="C14" s="183" t="str">
        <f>'Quadro Geral'!E16</f>
        <v>Comunicação do CAU/PI</v>
      </c>
      <c r="D14" s="184">
        <f>'Quadro Geral'!M16</f>
        <v>110980</v>
      </c>
      <c r="E14" s="176"/>
      <c r="F14" s="185">
        <f>'Anexo 4.Quadro Descritivo.'!G82+'Anexo 4.Quadro Descritivo.'!G83+'Anexo 4.Quadro Descritivo.'!G84</f>
        <v>98080</v>
      </c>
      <c r="G14" s="185">
        <f>'Anexo 4.Quadro Descritivo.'!G85</f>
        <v>2400</v>
      </c>
      <c r="H14" s="185"/>
      <c r="I14" s="185"/>
      <c r="J14" s="185">
        <f>'Anexo 4.Quadro Descritivo.'!G86</f>
        <v>2500</v>
      </c>
      <c r="K14" s="185">
        <f>'Anexo 4.Quadro Descritivo.'!G87+'Anexo 4.Quadro Descritivo.'!G88+'Anexo 4.Quadro Descritivo.'!G89</f>
        <v>8000</v>
      </c>
      <c r="L14" s="185"/>
      <c r="M14" s="185"/>
      <c r="N14" s="185"/>
      <c r="O14" s="186">
        <f t="shared" si="1"/>
        <v>110980</v>
      </c>
      <c r="P14" s="185"/>
      <c r="Q14" s="186">
        <f t="shared" si="2"/>
        <v>110980</v>
      </c>
      <c r="R14" s="187">
        <f t="shared" si="0"/>
        <v>6.6914250599765248</v>
      </c>
      <c r="S14" s="69" t="b">
        <f t="shared" si="3"/>
        <v>1</v>
      </c>
      <c r="T14" s="188"/>
    </row>
    <row r="15" spans="1:28" ht="56.1" customHeight="1" x14ac:dyDescent="0.4">
      <c r="A15" s="181" t="str">
        <f>'Quadro Geral'!A17</f>
        <v>Presidência</v>
      </c>
      <c r="B15" s="182">
        <f>'Quadro Geral'!D17</f>
        <v>0</v>
      </c>
      <c r="C15" s="183" t="str">
        <f>'Quadro Geral'!E17</f>
        <v>Patrocínio em Arquitetura</v>
      </c>
      <c r="D15" s="184">
        <f>'Quadro Geral'!M17</f>
        <v>30000</v>
      </c>
      <c r="E15" s="176"/>
      <c r="F15" s="185"/>
      <c r="G15" s="185"/>
      <c r="H15" s="185"/>
      <c r="I15" s="185"/>
      <c r="J15" s="185"/>
      <c r="K15" s="185">
        <f>'Anexo 4.Quadro Descritivo.'!G98</f>
        <v>30000</v>
      </c>
      <c r="L15" s="185"/>
      <c r="M15" s="185"/>
      <c r="N15" s="185"/>
      <c r="O15" s="186">
        <f t="shared" si="1"/>
        <v>30000</v>
      </c>
      <c r="P15" s="185"/>
      <c r="Q15" s="186">
        <f t="shared" si="2"/>
        <v>30000</v>
      </c>
      <c r="R15" s="187">
        <f t="shared" si="0"/>
        <v>1.8088191728175864</v>
      </c>
      <c r="S15" s="69" t="b">
        <f t="shared" si="3"/>
        <v>1</v>
      </c>
      <c r="T15" s="188"/>
    </row>
    <row r="16" spans="1:28" ht="56.1" customHeight="1" x14ac:dyDescent="0.4">
      <c r="A16" s="181" t="str">
        <f>'Quadro Geral'!A18</f>
        <v>Gerência Geral</v>
      </c>
      <c r="B16" s="182">
        <f>'Quadro Geral'!D18</f>
        <v>0</v>
      </c>
      <c r="C16" s="183" t="str">
        <f>'Quadro Geral'!E18</f>
        <v>Capacitação de funcionários e dirigentes do CAU/PI</v>
      </c>
      <c r="D16" s="184">
        <f>'Quadro Geral'!M18</f>
        <v>25000</v>
      </c>
      <c r="E16" s="176"/>
      <c r="F16" s="185"/>
      <c r="G16" s="185"/>
      <c r="H16" s="185"/>
      <c r="I16" s="185"/>
      <c r="J16" s="185"/>
      <c r="K16" s="185">
        <f>'Anexo 4.Quadro Descritivo.'!G107</f>
        <v>25000</v>
      </c>
      <c r="L16" s="185"/>
      <c r="M16" s="185"/>
      <c r="N16" s="185"/>
      <c r="O16" s="186">
        <f t="shared" si="1"/>
        <v>25000</v>
      </c>
      <c r="P16" s="185"/>
      <c r="Q16" s="186">
        <f t="shared" si="2"/>
        <v>25000</v>
      </c>
      <c r="R16" s="187">
        <f t="shared" si="0"/>
        <v>1.5073493106813221</v>
      </c>
      <c r="S16" s="69" t="b">
        <f t="shared" si="3"/>
        <v>1</v>
      </c>
      <c r="T16" s="188"/>
    </row>
    <row r="17" spans="1:20" ht="56.1" customHeight="1" x14ac:dyDescent="0.4">
      <c r="A17" s="181" t="str">
        <f>'Quadro Geral'!A19</f>
        <v>Comissão de Ética, ensino e exercício profissional</v>
      </c>
      <c r="B17" s="182">
        <f>'Quadro Geral'!D19</f>
        <v>0</v>
      </c>
      <c r="C17" s="183" t="str">
        <f>'Quadro Geral'!E19</f>
        <v>Por uma ética profissional no CAU/PI</v>
      </c>
      <c r="D17" s="184">
        <f>'Quadro Geral'!M19</f>
        <v>6600</v>
      </c>
      <c r="E17" s="176"/>
      <c r="F17" s="185"/>
      <c r="G17" s="185"/>
      <c r="H17" s="185"/>
      <c r="I17" s="185">
        <f>'Anexo 4.Quadro Descritivo.'!G117</f>
        <v>3600</v>
      </c>
      <c r="J17" s="185">
        <f>'Anexo 4.Quadro Descritivo.'!G118</f>
        <v>3000</v>
      </c>
      <c r="K17" s="185"/>
      <c r="L17" s="185"/>
      <c r="M17" s="185"/>
      <c r="N17" s="185"/>
      <c r="O17" s="186">
        <f t="shared" si="1"/>
        <v>6600</v>
      </c>
      <c r="P17" s="185"/>
      <c r="Q17" s="186">
        <f t="shared" si="2"/>
        <v>6600</v>
      </c>
      <c r="R17" s="187">
        <f t="shared" si="0"/>
        <v>0.39794021801986901</v>
      </c>
      <c r="S17" s="69" t="b">
        <f t="shared" si="3"/>
        <v>1</v>
      </c>
      <c r="T17" s="188"/>
    </row>
    <row r="18" spans="1:20" ht="56.1" customHeight="1" x14ac:dyDescent="0.4">
      <c r="A18" s="181" t="str">
        <f>'Quadro Geral'!A20</f>
        <v>Comissão de finanças, atos administrativos e planejamento estratégico do CAU/PI</v>
      </c>
      <c r="B18" s="182">
        <f>'Quadro Geral'!D20</f>
        <v>0</v>
      </c>
      <c r="C18" s="183" t="str">
        <f>'Quadro Geral'!E20</f>
        <v>Administração e planejamento do CAU/PI</v>
      </c>
      <c r="D18" s="184">
        <f>'Quadro Geral'!M20</f>
        <v>13550</v>
      </c>
      <c r="E18" s="176"/>
      <c r="F18" s="185"/>
      <c r="G18" s="185">
        <f>'Anexo 4.Quadro Descritivo.'!G129</f>
        <v>4800</v>
      </c>
      <c r="H18" s="185"/>
      <c r="I18" s="185">
        <f>'Anexo 4.Quadro Descritivo.'!G127</f>
        <v>2400</v>
      </c>
      <c r="J18" s="185">
        <f>'Anexo 4.Quadro Descritivo.'!G128+'Anexo 4.Quadro Descritivo.'!G130</f>
        <v>6350</v>
      </c>
      <c r="K18" s="185"/>
      <c r="L18" s="185"/>
      <c r="M18" s="185"/>
      <c r="N18" s="185"/>
      <c r="O18" s="186">
        <f t="shared" si="1"/>
        <v>13550</v>
      </c>
      <c r="P18" s="185"/>
      <c r="Q18" s="186">
        <f t="shared" si="2"/>
        <v>13550</v>
      </c>
      <c r="R18" s="187">
        <f t="shared" si="0"/>
        <v>0.81698332638927651</v>
      </c>
      <c r="S18" s="69" t="b">
        <f t="shared" si="3"/>
        <v>1</v>
      </c>
      <c r="T18" s="188"/>
    </row>
    <row r="19" spans="1:20" ht="56.1" customHeight="1" x14ac:dyDescent="0.4">
      <c r="A19" s="181" t="str">
        <f>'Quadro Geral'!A21</f>
        <v>Presidência</v>
      </c>
      <c r="B19" s="182" t="str">
        <f>'Quadro Geral'!D21</f>
        <v>X</v>
      </c>
      <c r="C19" s="183" t="str">
        <f>'Quadro Geral'!E21</f>
        <v>Representação institucional do CAU/PI</v>
      </c>
      <c r="D19" s="184">
        <f>'Quadro Geral'!M21</f>
        <v>78901.87</v>
      </c>
      <c r="E19" s="176"/>
      <c r="F19" s="185"/>
      <c r="G19" s="185"/>
      <c r="H19" s="185"/>
      <c r="I19" s="185">
        <f>'Anexo 4.Quadro Descritivo.'!G140+'Anexo 4.Quadro Descritivo.'!G142+'Anexo 4.Quadro Descritivo.'!G144</f>
        <v>41500</v>
      </c>
      <c r="J19" s="185">
        <f>'Anexo 4.Quadro Descritivo.'!G141+'Anexo 4.Quadro Descritivo.'!G143</f>
        <v>26440</v>
      </c>
      <c r="K19" s="185">
        <f>'Anexo 4.Quadro Descritivo.'!G139+'Anexo 4.Quadro Descritivo.'!G145</f>
        <v>10961.869999999999</v>
      </c>
      <c r="L19" s="185"/>
      <c r="M19" s="185"/>
      <c r="N19" s="185"/>
      <c r="O19" s="186">
        <f t="shared" si="1"/>
        <v>78901.87</v>
      </c>
      <c r="P19" s="185"/>
      <c r="Q19" s="186">
        <f t="shared" si="2"/>
        <v>78901.87</v>
      </c>
      <c r="R19" s="187">
        <f t="shared" si="0"/>
        <v>4.757307174238691</v>
      </c>
      <c r="S19" s="69" t="b">
        <f t="shared" si="3"/>
        <v>1</v>
      </c>
      <c r="T19" s="188"/>
    </row>
    <row r="20" spans="1:20" ht="56.1" customHeight="1" x14ac:dyDescent="0.4">
      <c r="A20" s="181" t="str">
        <f>'Quadro Geral'!A22</f>
        <v xml:space="preserve">Comissão de política profissional e política urbana e ambiental </v>
      </c>
      <c r="B20" s="182">
        <f>'Quadro Geral'!D22</f>
        <v>0</v>
      </c>
      <c r="C20" s="183" t="str">
        <f>'Quadro Geral'!E22</f>
        <v>Assistência Técnica</v>
      </c>
      <c r="D20" s="184">
        <f>'Quadro Geral'!M22</f>
        <v>90000</v>
      </c>
      <c r="E20" s="176"/>
      <c r="F20" s="185"/>
      <c r="G20" s="185"/>
      <c r="H20" s="185"/>
      <c r="I20" s="185">
        <f>'Anexo 4.Quadro Descritivo.'!G154+'Anexo 4.Quadro Descritivo.'!G156</f>
        <v>5600</v>
      </c>
      <c r="J20" s="185">
        <f>'Anexo 4.Quadro Descritivo.'!G155+'Anexo 4.Quadro Descritivo.'!G157</f>
        <v>5000</v>
      </c>
      <c r="K20" s="185">
        <f>'Anexo 4.Quadro Descritivo.'!G158+'Anexo 4.Quadro Descritivo.'!G159+'Anexo 4.Quadro Descritivo.'!G160</f>
        <v>79400</v>
      </c>
      <c r="L20" s="185"/>
      <c r="M20" s="185"/>
      <c r="N20" s="185"/>
      <c r="O20" s="186">
        <f t="shared" si="1"/>
        <v>90000</v>
      </c>
      <c r="P20" s="185"/>
      <c r="Q20" s="186">
        <f t="shared" si="2"/>
        <v>90000</v>
      </c>
      <c r="R20" s="187">
        <f t="shared" si="0"/>
        <v>5.426457518452759</v>
      </c>
      <c r="S20" s="69" t="b">
        <f t="shared" si="3"/>
        <v>1</v>
      </c>
      <c r="T20" s="188"/>
    </row>
    <row r="21" spans="1:20" s="192" customFormat="1" ht="56.1" customHeight="1" x14ac:dyDescent="0.4">
      <c r="A21" s="570" t="s">
        <v>52</v>
      </c>
      <c r="B21" s="570"/>
      <c r="C21" s="570"/>
      <c r="D21" s="189">
        <f>SUM(D7:D20)</f>
        <v>1658540.58</v>
      </c>
      <c r="E21" s="176"/>
      <c r="F21" s="190">
        <f t="shared" ref="F21:R21" si="4">SUM(F7:F20)</f>
        <v>900050</v>
      </c>
      <c r="G21" s="190">
        <f t="shared" si="4"/>
        <v>47000</v>
      </c>
      <c r="H21" s="190">
        <f t="shared" si="4"/>
        <v>6357.92</v>
      </c>
      <c r="I21" s="190">
        <f t="shared" si="4"/>
        <v>53100</v>
      </c>
      <c r="J21" s="190">
        <f t="shared" si="4"/>
        <v>47290</v>
      </c>
      <c r="K21" s="190">
        <f t="shared" si="4"/>
        <v>418558.63</v>
      </c>
      <c r="L21" s="190">
        <f t="shared" si="4"/>
        <v>84715.47</v>
      </c>
      <c r="M21" s="190">
        <f t="shared" si="4"/>
        <v>20000</v>
      </c>
      <c r="N21" s="190">
        <f t="shared" si="4"/>
        <v>23468.559999999998</v>
      </c>
      <c r="O21" s="190">
        <f t="shared" si="4"/>
        <v>1600540.58</v>
      </c>
      <c r="P21" s="190">
        <f t="shared" si="4"/>
        <v>58000</v>
      </c>
      <c r="Q21" s="190">
        <f t="shared" si="4"/>
        <v>1658540.58</v>
      </c>
      <c r="R21" s="571">
        <f t="shared" si="4"/>
        <v>100.00000000000001</v>
      </c>
      <c r="S21" s="69" t="b">
        <f t="shared" si="3"/>
        <v>1</v>
      </c>
      <c r="T21" s="191"/>
    </row>
    <row r="22" spans="1:20" s="192" customFormat="1" ht="56.1" customHeight="1" x14ac:dyDescent="0.4">
      <c r="A22" s="570" t="s">
        <v>48</v>
      </c>
      <c r="B22" s="570"/>
      <c r="C22" s="570"/>
      <c r="D22" s="570"/>
      <c r="E22" s="176"/>
      <c r="F22" s="193">
        <f>IFERROR(F21/$Q21*100,0)</f>
        <v>54.26758988314895</v>
      </c>
      <c r="G22" s="193">
        <f t="shared" ref="G22:Q22" si="5">IFERROR(G21/$Q21*100,0)</f>
        <v>2.8338167040808853</v>
      </c>
      <c r="H22" s="193">
        <f t="shared" si="5"/>
        <v>0.38334425317467963</v>
      </c>
      <c r="I22" s="193">
        <f t="shared" si="5"/>
        <v>3.2016099358871277</v>
      </c>
      <c r="J22" s="193">
        <f t="shared" si="5"/>
        <v>2.8513019560847885</v>
      </c>
      <c r="K22" s="193">
        <f t="shared" si="5"/>
        <v>25.236562496408737</v>
      </c>
      <c r="L22" s="193">
        <f t="shared" si="5"/>
        <v>5.1078322123417683</v>
      </c>
      <c r="M22" s="193">
        <f t="shared" si="5"/>
        <v>1.2058794485450575</v>
      </c>
      <c r="N22" s="193">
        <f t="shared" si="5"/>
        <v>1.4150127095473297</v>
      </c>
      <c r="O22" s="193">
        <f t="shared" si="5"/>
        <v>96.502949599219335</v>
      </c>
      <c r="P22" s="193">
        <f t="shared" si="5"/>
        <v>3.4970504007806671</v>
      </c>
      <c r="Q22" s="193">
        <f t="shared" si="5"/>
        <v>100</v>
      </c>
      <c r="R22" s="571"/>
      <c r="T22" s="191"/>
    </row>
    <row r="23" spans="1:20" s="194" customFormat="1" ht="28.5" customHeight="1" x14ac:dyDescent="0.4">
      <c r="B23" s="195"/>
      <c r="C23" s="195"/>
      <c r="D23" s="69" t="b">
        <f>D21='Anexo 1. Fontes e Aplicações'!F36</f>
        <v>1</v>
      </c>
      <c r="E23" s="176"/>
      <c r="F23" s="69" t="b">
        <f>F21='Anexo 2. Limites Estratégicos'!L5</f>
        <v>1</v>
      </c>
      <c r="H23" s="195" t="s">
        <v>194</v>
      </c>
      <c r="I23" s="195"/>
      <c r="J23" s="195"/>
      <c r="K23" s="195"/>
      <c r="L23" s="195"/>
      <c r="M23" s="195"/>
      <c r="N23" s="195"/>
      <c r="O23" s="195"/>
      <c r="P23" s="69" t="b">
        <f>P21='Anexo 1. Fontes e Aplicações'!B54</f>
        <v>1</v>
      </c>
      <c r="Q23" s="195"/>
      <c r="R23" s="195"/>
      <c r="T23" s="188"/>
    </row>
    <row r="24" spans="1:20" s="194" customFormat="1" ht="56.1" customHeight="1" x14ac:dyDescent="0.4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T24" s="188"/>
    </row>
    <row r="25" spans="1:20" s="194" customFormat="1" ht="56.1" customHeight="1" x14ac:dyDescent="0.4">
      <c r="A25" s="572" t="s">
        <v>223</v>
      </c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4"/>
      <c r="T25" s="188"/>
    </row>
    <row r="26" spans="1:20" s="194" customFormat="1" ht="51.75" customHeight="1" x14ac:dyDescent="0.35">
      <c r="A26" s="560" t="s">
        <v>384</v>
      </c>
      <c r="B26" s="561"/>
      <c r="C26" s="561"/>
      <c r="D26" s="561"/>
      <c r="E26" s="561"/>
      <c r="F26" s="561"/>
      <c r="G26" s="561"/>
      <c r="H26" s="561"/>
      <c r="I26" s="561"/>
      <c r="J26" s="561"/>
      <c r="K26" s="561"/>
      <c r="L26" s="561"/>
      <c r="M26" s="561"/>
      <c r="N26" s="561"/>
      <c r="O26" s="561"/>
      <c r="P26" s="561"/>
      <c r="Q26" s="561"/>
      <c r="R26" s="562"/>
    </row>
    <row r="27" spans="1:20" s="194" customFormat="1" ht="51.75" customHeight="1" x14ac:dyDescent="0.35">
      <c r="A27" s="563"/>
      <c r="B27" s="564"/>
      <c r="C27" s="564"/>
      <c r="D27" s="564"/>
      <c r="E27" s="564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5"/>
    </row>
    <row r="28" spans="1:20" s="194" customFormat="1" ht="51.75" customHeight="1" x14ac:dyDescent="0.35">
      <c r="A28" s="563"/>
      <c r="B28" s="564"/>
      <c r="C28" s="564"/>
      <c r="D28" s="564"/>
      <c r="E28" s="564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5"/>
    </row>
    <row r="29" spans="1:20" s="194" customFormat="1" ht="51.75" customHeight="1" x14ac:dyDescent="0.35">
      <c r="A29" s="563"/>
      <c r="B29" s="564"/>
      <c r="C29" s="564"/>
      <c r="D29" s="564"/>
      <c r="E29" s="564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5"/>
    </row>
    <row r="30" spans="1:20" s="194" customFormat="1" ht="51.75" customHeight="1" x14ac:dyDescent="0.35">
      <c r="A30" s="563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5"/>
    </row>
    <row r="31" spans="1:20" s="194" customFormat="1" ht="51.75" customHeight="1" x14ac:dyDescent="0.35">
      <c r="A31" s="563"/>
      <c r="B31" s="564"/>
      <c r="C31" s="564"/>
      <c r="D31" s="564"/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5"/>
    </row>
    <row r="32" spans="1:20" s="194" customFormat="1" ht="51.75" customHeight="1" x14ac:dyDescent="0.35">
      <c r="A32" s="563"/>
      <c r="B32" s="564"/>
      <c r="C32" s="564"/>
      <c r="D32" s="564"/>
      <c r="E32" s="564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5"/>
    </row>
    <row r="33" spans="1:18" s="197" customFormat="1" ht="51.75" customHeight="1" x14ac:dyDescent="0.35">
      <c r="A33" s="563"/>
      <c r="B33" s="564"/>
      <c r="C33" s="564"/>
      <c r="D33" s="564"/>
      <c r="E33" s="564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5"/>
    </row>
    <row r="34" spans="1:18" ht="51.75" customHeight="1" x14ac:dyDescent="0.4">
      <c r="A34" s="563"/>
      <c r="B34" s="564"/>
      <c r="C34" s="564"/>
      <c r="D34" s="564"/>
      <c r="E34" s="564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5"/>
    </row>
    <row r="35" spans="1:18" ht="113.25" customHeight="1" x14ac:dyDescent="0.4">
      <c r="A35" s="566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567"/>
      <c r="M35" s="567"/>
      <c r="N35" s="567"/>
      <c r="O35" s="567"/>
      <c r="P35" s="567"/>
      <c r="Q35" s="567"/>
      <c r="R35" s="568"/>
    </row>
  </sheetData>
  <mergeCells count="23">
    <mergeCell ref="A26:R35"/>
    <mergeCell ref="S5:S6"/>
    <mergeCell ref="T6:AB6"/>
    <mergeCell ref="A21:C21"/>
    <mergeCell ref="R21:R22"/>
    <mergeCell ref="A22:D22"/>
    <mergeCell ref="A25:R25"/>
    <mergeCell ref="M5:M6"/>
    <mergeCell ref="N5:N6"/>
    <mergeCell ref="O5:O6"/>
    <mergeCell ref="P5:P6"/>
    <mergeCell ref="Q5:Q6"/>
    <mergeCell ref="R5:R6"/>
    <mergeCell ref="A2:R2"/>
    <mergeCell ref="A3:R3"/>
    <mergeCell ref="A5:A6"/>
    <mergeCell ref="B5:B6"/>
    <mergeCell ref="C5:C6"/>
    <mergeCell ref="D5:D6"/>
    <mergeCell ref="F5:G5"/>
    <mergeCell ref="H5:H6"/>
    <mergeCell ref="I5:K5"/>
    <mergeCell ref="L5:L6"/>
  </mergeCells>
  <conditionalFormatting sqref="S7:S21">
    <cfRule type="cellIs" dxfId="3" priority="4" operator="equal">
      <formula>TRUE</formula>
    </cfRule>
  </conditionalFormatting>
  <conditionalFormatting sqref="D23">
    <cfRule type="cellIs" dxfId="2" priority="3" operator="equal">
      <formula>TRUE</formula>
    </cfRule>
  </conditionalFormatting>
  <conditionalFormatting sqref="F23">
    <cfRule type="cellIs" dxfId="1" priority="2" operator="equal">
      <formula>TRUE</formula>
    </cfRule>
  </conditionalFormatting>
  <conditionalFormatting sqref="P23">
    <cfRule type="cellIs" dxfId="0" priority="1" operator="equal">
      <formula>TRUE</formula>
    </cfRule>
  </conditionalFormatting>
  <pageMargins left="0.51181102362204722" right="0.51181102362204722" top="0.78740157480314965" bottom="0.78740157480314965" header="0.31496062992125984" footer="0.31496062992125984"/>
  <pageSetup scale="25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77777"/>
  </sheetPr>
  <dimension ref="A1:AP206"/>
  <sheetViews>
    <sheetView showGridLines="0" zoomScale="70" zoomScaleNormal="70" zoomScaleSheetLayoutView="80" workbookViewId="0">
      <pane ySplit="3" topLeftCell="A103" activePane="bottomLeft" state="frozen"/>
      <selection pane="bottomLeft" activeCell="G107" sqref="G107"/>
    </sheetView>
  </sheetViews>
  <sheetFormatPr defaultColWidth="36.85546875" defaultRowHeight="26.25" x14ac:dyDescent="0.4"/>
  <cols>
    <col min="1" max="1" width="21.28515625" style="17" customWidth="1"/>
    <col min="2" max="2" width="126.85546875" style="17" customWidth="1"/>
    <col min="3" max="3" width="31.7109375" style="17" hidden="1" customWidth="1"/>
    <col min="4" max="6" width="27.5703125" style="17" customWidth="1"/>
    <col min="7" max="7" width="27.7109375" style="17" customWidth="1"/>
    <col min="8" max="8" width="20.28515625" style="295" customWidth="1"/>
    <col min="9" max="9" width="27.7109375" style="18" hidden="1" customWidth="1"/>
    <col min="10" max="10" width="27.28515625" style="18" hidden="1" customWidth="1"/>
    <col min="11" max="16384" width="36.85546875" style="17"/>
  </cols>
  <sheetData>
    <row r="1" spans="1:42" x14ac:dyDescent="0.4">
      <c r="A1" s="576" t="s">
        <v>386</v>
      </c>
      <c r="B1" s="577"/>
      <c r="C1" s="577"/>
      <c r="D1" s="576" t="s">
        <v>387</v>
      </c>
      <c r="E1" s="577"/>
      <c r="F1" s="577"/>
      <c r="G1" s="577"/>
      <c r="H1" s="578"/>
    </row>
    <row r="2" spans="1:42" ht="26.25" customHeight="1" x14ac:dyDescent="0.4">
      <c r="A2" s="576" t="s">
        <v>83</v>
      </c>
      <c r="B2" s="577"/>
      <c r="C2" s="578"/>
      <c r="D2" s="579" t="s">
        <v>399</v>
      </c>
      <c r="E2" s="576" t="s">
        <v>400</v>
      </c>
      <c r="F2" s="577"/>
      <c r="G2" s="578"/>
      <c r="H2" s="581" t="s">
        <v>403</v>
      </c>
    </row>
    <row r="3" spans="1:42" ht="78.75" x14ac:dyDescent="0.4">
      <c r="A3" s="296" t="s">
        <v>191</v>
      </c>
      <c r="B3" s="296" t="s">
        <v>190</v>
      </c>
      <c r="C3" s="297" t="s">
        <v>132</v>
      </c>
      <c r="D3" s="580"/>
      <c r="E3" s="296" t="s">
        <v>401</v>
      </c>
      <c r="F3" s="296" t="s">
        <v>402</v>
      </c>
      <c r="G3" s="296" t="s">
        <v>200</v>
      </c>
      <c r="H3" s="581"/>
    </row>
    <row r="4" spans="1:42" ht="66.75" customHeight="1" x14ac:dyDescent="0.4">
      <c r="A4" s="601" t="s">
        <v>398</v>
      </c>
      <c r="B4" s="601"/>
      <c r="C4" s="601"/>
      <c r="D4" s="601"/>
      <c r="E4" s="601"/>
      <c r="F4" s="601"/>
      <c r="G4" s="601"/>
      <c r="H4" s="601"/>
      <c r="I4" s="601"/>
      <c r="J4" s="601"/>
    </row>
    <row r="5" spans="1:42" ht="43.5" customHeight="1" x14ac:dyDescent="0.4">
      <c r="A5" s="586" t="s">
        <v>77</v>
      </c>
      <c r="B5" s="587"/>
      <c r="C5" s="588" t="s">
        <v>524</v>
      </c>
      <c r="D5" s="588"/>
      <c r="E5" s="588"/>
      <c r="F5" s="588"/>
      <c r="G5" s="588"/>
      <c r="H5" s="588"/>
      <c r="I5" s="588"/>
      <c r="J5" s="589"/>
      <c r="P5" s="72"/>
      <c r="Q5" s="70"/>
      <c r="R5" s="70"/>
      <c r="S5" s="70"/>
      <c r="T5" s="70"/>
      <c r="U5" s="70"/>
      <c r="V5" s="70"/>
      <c r="W5" s="70"/>
      <c r="X5" s="70"/>
      <c r="Y5" s="70"/>
    </row>
    <row r="6" spans="1:42" ht="97.5" customHeight="1" x14ac:dyDescent="0.4">
      <c r="A6" s="587" t="s">
        <v>41</v>
      </c>
      <c r="B6" s="587"/>
      <c r="C6" s="590" t="str">
        <f>'Quadro Geral'!G13</f>
        <v>Ter sistemas de informação e infraestrutura que viabilizem a gestão e o atendimento dos arquitetos e urbanistas e a sociedade</v>
      </c>
      <c r="D6" s="590"/>
      <c r="E6" s="590"/>
      <c r="F6" s="590"/>
      <c r="G6" s="590"/>
      <c r="H6" s="590"/>
      <c r="I6" s="590"/>
      <c r="J6" s="591"/>
      <c r="X6" s="70"/>
      <c r="Y6" s="70"/>
    </row>
    <row r="7" spans="1:42" s="198" customFormat="1" ht="49.5" customHeight="1" x14ac:dyDescent="0.4">
      <c r="A7" s="87"/>
      <c r="B7" s="87"/>
      <c r="C7" s="87"/>
      <c r="D7" s="85"/>
      <c r="E7" s="85"/>
      <c r="F7" s="85"/>
      <c r="G7" s="85"/>
      <c r="H7" s="292"/>
      <c r="I7" s="85" t="s">
        <v>221</v>
      </c>
      <c r="J7" s="85"/>
      <c r="P7" s="88"/>
      <c r="Q7" s="89"/>
      <c r="R7" s="89"/>
      <c r="S7" s="89"/>
      <c r="T7" s="89"/>
      <c r="U7" s="89"/>
      <c r="V7" s="89"/>
      <c r="W7" s="89"/>
      <c r="X7" s="89"/>
      <c r="Y7" s="89"/>
    </row>
    <row r="8" spans="1:42" ht="97.5" customHeight="1" x14ac:dyDescent="0.4">
      <c r="A8" s="583" t="s">
        <v>386</v>
      </c>
      <c r="B8" s="584"/>
      <c r="C8" s="584"/>
      <c r="D8" s="583" t="s">
        <v>387</v>
      </c>
      <c r="E8" s="584"/>
      <c r="F8" s="584"/>
      <c r="G8" s="584"/>
      <c r="H8" s="585"/>
      <c r="I8" s="592" t="s">
        <v>222</v>
      </c>
      <c r="J8" s="593"/>
      <c r="O8" s="89"/>
      <c r="P8" s="89"/>
      <c r="Q8" s="89"/>
      <c r="R8" s="89"/>
      <c r="S8" s="89"/>
      <c r="T8" s="89"/>
      <c r="U8" s="89"/>
      <c r="V8" s="89"/>
      <c r="W8" s="70"/>
      <c r="X8" s="70"/>
      <c r="Y8" s="70"/>
    </row>
    <row r="9" spans="1:42" ht="56.1" customHeight="1" x14ac:dyDescent="0.4">
      <c r="A9" s="583" t="s">
        <v>83</v>
      </c>
      <c r="B9" s="584"/>
      <c r="C9" s="585"/>
      <c r="D9" s="594" t="s">
        <v>399</v>
      </c>
      <c r="E9" s="583" t="s">
        <v>400</v>
      </c>
      <c r="F9" s="584"/>
      <c r="G9" s="585"/>
      <c r="H9" s="596" t="s">
        <v>403</v>
      </c>
      <c r="I9" s="597" t="s">
        <v>404</v>
      </c>
      <c r="J9" s="599" t="s">
        <v>405</v>
      </c>
      <c r="O9" s="89"/>
      <c r="P9" s="89"/>
      <c r="Q9" s="89"/>
      <c r="R9" s="89"/>
      <c r="S9" s="89"/>
      <c r="T9" s="89"/>
      <c r="U9" s="89"/>
      <c r="V9" s="89"/>
      <c r="W9" s="70"/>
      <c r="X9" s="70"/>
      <c r="Y9" s="70"/>
    </row>
    <row r="10" spans="1:42" ht="97.5" customHeight="1" x14ac:dyDescent="0.4">
      <c r="A10" s="199" t="s">
        <v>191</v>
      </c>
      <c r="B10" s="199" t="s">
        <v>190</v>
      </c>
      <c r="C10" s="200" t="s">
        <v>132</v>
      </c>
      <c r="D10" s="595"/>
      <c r="E10" s="199" t="s">
        <v>401</v>
      </c>
      <c r="F10" s="199" t="s">
        <v>402</v>
      </c>
      <c r="G10" s="199" t="s">
        <v>200</v>
      </c>
      <c r="H10" s="596"/>
      <c r="I10" s="598"/>
      <c r="J10" s="600"/>
      <c r="O10" s="89"/>
      <c r="P10" s="89"/>
      <c r="Q10" s="89"/>
      <c r="R10" s="89"/>
      <c r="S10" s="89"/>
      <c r="T10" s="89"/>
      <c r="U10" s="89"/>
      <c r="V10" s="89"/>
      <c r="W10" s="70"/>
      <c r="X10" s="70"/>
      <c r="Y10" s="70"/>
      <c r="AP10" s="17" t="s">
        <v>85</v>
      </c>
    </row>
    <row r="11" spans="1:42" ht="56.1" customHeight="1" x14ac:dyDescent="0.4">
      <c r="A11" s="225">
        <v>12</v>
      </c>
      <c r="B11" s="225" t="s">
        <v>467</v>
      </c>
      <c r="C11" s="33"/>
      <c r="D11" s="202">
        <v>54000</v>
      </c>
      <c r="E11" s="202">
        <v>20819.5</v>
      </c>
      <c r="F11" s="202">
        <f>49966.8-E11</f>
        <v>29147.300000000003</v>
      </c>
      <c r="G11" s="218">
        <f t="shared" ref="G11:G41" si="0">E11+F11</f>
        <v>49966.8</v>
      </c>
      <c r="H11" s="203">
        <f t="shared" ref="H11:H42" si="1">IFERROR(G11/D11*100-100,0)</f>
        <v>-7.468888888888884</v>
      </c>
      <c r="I11" s="290"/>
      <c r="J11" s="219">
        <f t="shared" ref="J11:J42" si="2">IFERROR(I11/G11*100,)</f>
        <v>0</v>
      </c>
      <c r="O11" s="89"/>
      <c r="P11" s="72"/>
      <c r="Q11" s="70"/>
      <c r="R11" s="70"/>
      <c r="S11" s="70"/>
      <c r="T11" s="70"/>
      <c r="U11" s="70"/>
      <c r="V11" s="70"/>
      <c r="W11" s="70"/>
      <c r="X11" s="70"/>
      <c r="Y11" s="70"/>
      <c r="AP11" s="17" t="s">
        <v>128</v>
      </c>
    </row>
    <row r="12" spans="1:42" ht="56.1" customHeight="1" x14ac:dyDescent="0.4">
      <c r="A12" s="225">
        <v>48</v>
      </c>
      <c r="B12" s="225" t="s">
        <v>539</v>
      </c>
      <c r="C12" s="33"/>
      <c r="D12" s="202">
        <v>26200</v>
      </c>
      <c r="E12" s="202">
        <f>605.57+3359.27+5044.2</f>
        <v>9009.0400000000009</v>
      </c>
      <c r="F12" s="202">
        <f>26600-E12</f>
        <v>17590.96</v>
      </c>
      <c r="G12" s="218">
        <f t="shared" ref="G12:G18" si="3">E12+F12</f>
        <v>26600</v>
      </c>
      <c r="H12" s="203">
        <f t="shared" ref="H12:H18" si="4">IFERROR(G12/D12*100-100,0)</f>
        <v>1.5267175572519136</v>
      </c>
      <c r="I12" s="290"/>
      <c r="J12" s="219"/>
      <c r="O12" s="89"/>
      <c r="P12" s="72"/>
      <c r="Q12" s="70"/>
      <c r="R12" s="70"/>
      <c r="S12" s="70"/>
      <c r="T12" s="70"/>
      <c r="U12" s="70"/>
      <c r="V12" s="70"/>
      <c r="W12" s="70"/>
      <c r="X12" s="70"/>
      <c r="Y12" s="70"/>
    </row>
    <row r="13" spans="1:42" ht="56.1" customHeight="1" x14ac:dyDescent="0.4">
      <c r="A13" s="225">
        <v>12</v>
      </c>
      <c r="B13" s="225" t="s">
        <v>468</v>
      </c>
      <c r="C13" s="33"/>
      <c r="D13" s="202">
        <v>3000</v>
      </c>
      <c r="E13" s="202">
        <v>1224.5</v>
      </c>
      <c r="F13" s="202">
        <f>3100-E13</f>
        <v>1875.5</v>
      </c>
      <c r="G13" s="218">
        <f t="shared" si="3"/>
        <v>3100</v>
      </c>
      <c r="H13" s="203">
        <f t="shared" si="4"/>
        <v>3.3333333333333428</v>
      </c>
      <c r="I13" s="290"/>
      <c r="J13" s="219"/>
      <c r="O13" s="89"/>
      <c r="P13" s="72"/>
      <c r="Q13" s="70"/>
      <c r="R13" s="70"/>
      <c r="S13" s="70"/>
      <c r="T13" s="70"/>
      <c r="U13" s="70"/>
      <c r="V13" s="70"/>
      <c r="W13" s="70"/>
      <c r="X13" s="70"/>
      <c r="Y13" s="70"/>
    </row>
    <row r="14" spans="1:42" ht="56.1" customHeight="1" x14ac:dyDescent="0.4">
      <c r="A14" s="225">
        <v>12</v>
      </c>
      <c r="B14" s="225" t="s">
        <v>469</v>
      </c>
      <c r="C14" s="33"/>
      <c r="D14" s="202">
        <v>35000</v>
      </c>
      <c r="E14" s="202">
        <v>12643.4</v>
      </c>
      <c r="F14" s="202">
        <f>33000-E14</f>
        <v>20356.599999999999</v>
      </c>
      <c r="G14" s="218">
        <f t="shared" si="3"/>
        <v>33000</v>
      </c>
      <c r="H14" s="203">
        <f t="shared" si="4"/>
        <v>-5.7142857142857224</v>
      </c>
      <c r="I14" s="290"/>
      <c r="J14" s="219"/>
      <c r="O14" s="89"/>
      <c r="P14" s="72"/>
      <c r="Q14" s="70"/>
      <c r="R14" s="70"/>
      <c r="S14" s="70"/>
      <c r="T14" s="70"/>
      <c r="U14" s="70"/>
      <c r="V14" s="70"/>
      <c r="W14" s="70"/>
      <c r="X14" s="70"/>
      <c r="Y14" s="70"/>
    </row>
    <row r="15" spans="1:42" ht="56.1" customHeight="1" x14ac:dyDescent="0.4">
      <c r="A15" s="225">
        <v>12</v>
      </c>
      <c r="B15" s="225" t="s">
        <v>470</v>
      </c>
      <c r="C15" s="33"/>
      <c r="D15" s="202">
        <v>2000</v>
      </c>
      <c r="E15" s="202">
        <v>806.6</v>
      </c>
      <c r="F15" s="202">
        <f>2138.7-E15</f>
        <v>1332.1</v>
      </c>
      <c r="G15" s="218">
        <f t="shared" si="3"/>
        <v>2138.6999999999998</v>
      </c>
      <c r="H15" s="203">
        <f t="shared" si="4"/>
        <v>6.9349999999999739</v>
      </c>
      <c r="I15" s="290"/>
      <c r="J15" s="219"/>
      <c r="O15" s="89"/>
      <c r="P15" s="72"/>
      <c r="Q15" s="70"/>
      <c r="R15" s="70"/>
      <c r="S15" s="70"/>
      <c r="T15" s="70"/>
      <c r="U15" s="70"/>
      <c r="V15" s="70"/>
      <c r="W15" s="70"/>
      <c r="X15" s="70"/>
      <c r="Y15" s="70"/>
    </row>
    <row r="16" spans="1:42" ht="56.1" customHeight="1" x14ac:dyDescent="0.4">
      <c r="A16" s="225">
        <v>24</v>
      </c>
      <c r="B16" s="225" t="s">
        <v>564</v>
      </c>
      <c r="C16" s="33"/>
      <c r="D16" s="202">
        <v>14400</v>
      </c>
      <c r="E16" s="202">
        <v>4999.9799999999996</v>
      </c>
      <c r="F16" s="202">
        <v>8400</v>
      </c>
      <c r="G16" s="218">
        <f t="shared" si="3"/>
        <v>13399.98</v>
      </c>
      <c r="H16" s="203">
        <f t="shared" si="4"/>
        <v>-6.9445833333333269</v>
      </c>
      <c r="I16" s="290"/>
      <c r="J16" s="219"/>
      <c r="O16" s="89"/>
      <c r="P16" s="72"/>
      <c r="Q16" s="70"/>
      <c r="R16" s="70"/>
      <c r="S16" s="70"/>
      <c r="T16" s="70"/>
      <c r="U16" s="70"/>
      <c r="V16" s="70"/>
      <c r="W16" s="70"/>
      <c r="X16" s="70"/>
      <c r="Y16" s="70"/>
    </row>
    <row r="17" spans="1:42" ht="56.1" customHeight="1" x14ac:dyDescent="0.4">
      <c r="A17" s="225">
        <v>12</v>
      </c>
      <c r="B17" s="225" t="s">
        <v>471</v>
      </c>
      <c r="C17" s="33"/>
      <c r="D17" s="202">
        <v>17000</v>
      </c>
      <c r="E17" s="202">
        <v>8889.36</v>
      </c>
      <c r="F17" s="202">
        <f>23007.26-E17</f>
        <v>14117.899999999998</v>
      </c>
      <c r="G17" s="218">
        <f t="shared" si="3"/>
        <v>23007.26</v>
      </c>
      <c r="H17" s="203">
        <f t="shared" si="4"/>
        <v>35.33682352941176</v>
      </c>
      <c r="I17" s="290"/>
      <c r="J17" s="219"/>
      <c r="O17" s="89"/>
      <c r="P17" s="72"/>
      <c r="Q17" s="70"/>
      <c r="R17" s="70"/>
      <c r="S17" s="70"/>
      <c r="T17" s="70"/>
      <c r="U17" s="70"/>
      <c r="V17" s="70"/>
      <c r="W17" s="70"/>
      <c r="X17" s="70"/>
      <c r="Y17" s="70"/>
    </row>
    <row r="18" spans="1:42" ht="56.1" customHeight="1" x14ac:dyDescent="0.4">
      <c r="A18" s="225">
        <v>12</v>
      </c>
      <c r="B18" s="225" t="s">
        <v>472</v>
      </c>
      <c r="C18" s="33"/>
      <c r="D18" s="202">
        <v>600</v>
      </c>
      <c r="E18" s="202">
        <v>0</v>
      </c>
      <c r="F18" s="202">
        <v>461.3</v>
      </c>
      <c r="G18" s="218">
        <f t="shared" si="3"/>
        <v>461.3</v>
      </c>
      <c r="H18" s="203">
        <f t="shared" si="4"/>
        <v>-23.11666666666666</v>
      </c>
      <c r="I18" s="290"/>
      <c r="J18" s="219"/>
      <c r="O18" s="89"/>
      <c r="P18" s="72"/>
      <c r="Q18" s="70"/>
      <c r="R18" s="70"/>
      <c r="S18" s="70"/>
      <c r="T18" s="70"/>
      <c r="U18" s="70"/>
      <c r="V18" s="70"/>
      <c r="W18" s="70"/>
      <c r="X18" s="70"/>
      <c r="Y18" s="70"/>
    </row>
    <row r="19" spans="1:42" ht="56.1" customHeight="1" x14ac:dyDescent="0.4">
      <c r="A19" s="225">
        <v>1</v>
      </c>
      <c r="B19" s="225" t="s">
        <v>473</v>
      </c>
      <c r="C19" s="33"/>
      <c r="D19" s="202">
        <v>1700</v>
      </c>
      <c r="E19" s="202">
        <v>0</v>
      </c>
      <c r="F19" s="202">
        <v>2000</v>
      </c>
      <c r="G19" s="218">
        <f t="shared" ref="G19:G26" si="5">E19+F19</f>
        <v>2000</v>
      </c>
      <c r="H19" s="203">
        <f t="shared" ref="H19:H26" si="6">IFERROR(G19/D19*100-100,0)</f>
        <v>17.64705882352942</v>
      </c>
      <c r="I19" s="290"/>
      <c r="J19" s="219"/>
      <c r="O19" s="89"/>
      <c r="P19" s="72"/>
      <c r="Q19" s="70"/>
      <c r="R19" s="70"/>
      <c r="S19" s="70"/>
      <c r="T19" s="70"/>
      <c r="U19" s="70"/>
      <c r="V19" s="70"/>
      <c r="W19" s="70"/>
      <c r="X19" s="70"/>
      <c r="Y19" s="70"/>
    </row>
    <row r="20" spans="1:42" ht="78.75" x14ac:dyDescent="0.4">
      <c r="A20" s="225">
        <v>12</v>
      </c>
      <c r="B20" s="225" t="s">
        <v>561</v>
      </c>
      <c r="C20" s="33"/>
      <c r="D20" s="226">
        <v>315200</v>
      </c>
      <c r="E20" s="202">
        <v>121096.5</v>
      </c>
      <c r="F20" s="226">
        <v>200713.5</v>
      </c>
      <c r="G20" s="218">
        <f t="shared" si="5"/>
        <v>321810</v>
      </c>
      <c r="H20" s="203">
        <f t="shared" si="6"/>
        <v>2.097081218274127</v>
      </c>
      <c r="I20" s="290"/>
      <c r="J20" s="219"/>
      <c r="O20" s="89"/>
      <c r="P20" s="72"/>
      <c r="Q20" s="70"/>
      <c r="R20" s="70"/>
      <c r="S20" s="70"/>
      <c r="T20" s="70"/>
      <c r="U20" s="70"/>
      <c r="V20" s="70"/>
      <c r="W20" s="70"/>
      <c r="X20" s="70"/>
      <c r="Y20" s="70"/>
    </row>
    <row r="21" spans="1:42" ht="56.1" customHeight="1" x14ac:dyDescent="0.4">
      <c r="A21" s="225">
        <v>12</v>
      </c>
      <c r="B21" s="225" t="s">
        <v>474</v>
      </c>
      <c r="C21" s="33"/>
      <c r="D21" s="226">
        <v>28800</v>
      </c>
      <c r="E21" s="202">
        <v>12000</v>
      </c>
      <c r="F21" s="226">
        <v>19200</v>
      </c>
      <c r="G21" s="218">
        <f t="shared" si="5"/>
        <v>31200</v>
      </c>
      <c r="H21" s="203">
        <f t="shared" si="6"/>
        <v>8.3333333333333286</v>
      </c>
      <c r="I21" s="290"/>
      <c r="J21" s="219"/>
      <c r="O21" s="89"/>
      <c r="P21" s="72"/>
      <c r="Q21" s="70"/>
      <c r="R21" s="70"/>
      <c r="S21" s="70"/>
      <c r="T21" s="70"/>
      <c r="U21" s="70"/>
      <c r="V21" s="70"/>
      <c r="W21" s="70"/>
      <c r="X21" s="70"/>
      <c r="Y21" s="70"/>
    </row>
    <row r="22" spans="1:42" ht="56.1" customHeight="1" x14ac:dyDescent="0.4">
      <c r="A22" s="225">
        <v>4</v>
      </c>
      <c r="B22" s="225" t="s">
        <v>485</v>
      </c>
      <c r="C22" s="33"/>
      <c r="D22" s="226">
        <v>300</v>
      </c>
      <c r="E22" s="202">
        <v>0</v>
      </c>
      <c r="F22" s="226">
        <v>300</v>
      </c>
      <c r="G22" s="218">
        <f t="shared" ref="G22" si="7">E22+F22</f>
        <v>300</v>
      </c>
      <c r="H22" s="203">
        <f t="shared" ref="H22" si="8">IFERROR(G22/D22*100-100,0)</f>
        <v>0</v>
      </c>
      <c r="I22" s="290"/>
      <c r="J22" s="219"/>
      <c r="O22" s="89"/>
      <c r="P22" s="72"/>
      <c r="Q22" s="70"/>
      <c r="R22" s="70"/>
      <c r="S22" s="70"/>
      <c r="T22" s="70"/>
      <c r="U22" s="70"/>
      <c r="V22" s="70"/>
      <c r="W22" s="70"/>
      <c r="X22" s="70"/>
      <c r="Y22" s="70"/>
    </row>
    <row r="23" spans="1:42" ht="56.1" customHeight="1" x14ac:dyDescent="0.4">
      <c r="A23" s="225">
        <v>12</v>
      </c>
      <c r="B23" s="225" t="s">
        <v>475</v>
      </c>
      <c r="C23" s="33"/>
      <c r="D23" s="202">
        <v>5000</v>
      </c>
      <c r="E23" s="202">
        <v>99.12</v>
      </c>
      <c r="F23" s="202">
        <f>4000-E23</f>
        <v>3900.88</v>
      </c>
      <c r="G23" s="218">
        <f t="shared" si="5"/>
        <v>4000</v>
      </c>
      <c r="H23" s="203">
        <f t="shared" si="6"/>
        <v>-20</v>
      </c>
      <c r="I23" s="290"/>
      <c r="J23" s="219"/>
      <c r="O23" s="89"/>
      <c r="P23" s="72"/>
      <c r="Q23" s="70"/>
      <c r="R23" s="70"/>
      <c r="S23" s="70"/>
      <c r="T23" s="70"/>
      <c r="U23" s="70"/>
      <c r="V23" s="70"/>
      <c r="W23" s="70"/>
      <c r="X23" s="70"/>
      <c r="Y23" s="70"/>
    </row>
    <row r="24" spans="1:42" ht="93.75" customHeight="1" x14ac:dyDescent="0.4">
      <c r="A24" s="225">
        <v>3</v>
      </c>
      <c r="B24" s="225" t="s">
        <v>562</v>
      </c>
      <c r="C24" s="33"/>
      <c r="D24" s="202">
        <f>3000+2500+500</f>
        <v>6000</v>
      </c>
      <c r="E24" s="226">
        <v>2459.34</v>
      </c>
      <c r="F24" s="226">
        <f>6107.92-E24+250</f>
        <v>3898.58</v>
      </c>
      <c r="G24" s="218">
        <f t="shared" si="5"/>
        <v>6357.92</v>
      </c>
      <c r="H24" s="203">
        <f t="shared" si="6"/>
        <v>5.9653333333333336</v>
      </c>
      <c r="I24" s="290"/>
      <c r="J24" s="219"/>
      <c r="O24" s="89"/>
      <c r="P24" s="72"/>
      <c r="Q24" s="70"/>
      <c r="R24" s="70"/>
      <c r="S24" s="70"/>
      <c r="T24" s="70"/>
      <c r="U24" s="70"/>
      <c r="V24" s="70"/>
      <c r="W24" s="70"/>
      <c r="X24" s="70"/>
      <c r="Y24" s="70"/>
    </row>
    <row r="25" spans="1:42" ht="56.1" customHeight="1" x14ac:dyDescent="0.4">
      <c r="A25" s="225">
        <v>1</v>
      </c>
      <c r="B25" s="225" t="s">
        <v>476</v>
      </c>
      <c r="C25" s="33"/>
      <c r="D25" s="202">
        <v>1200</v>
      </c>
      <c r="E25" s="202">
        <v>0</v>
      </c>
      <c r="F25" s="202">
        <v>1200</v>
      </c>
      <c r="G25" s="218">
        <f t="shared" si="5"/>
        <v>1200</v>
      </c>
      <c r="H25" s="203">
        <f t="shared" si="6"/>
        <v>0</v>
      </c>
      <c r="I25" s="290"/>
      <c r="J25" s="219"/>
      <c r="O25" s="89"/>
      <c r="P25" s="72"/>
      <c r="Q25" s="70"/>
      <c r="R25" s="70"/>
      <c r="S25" s="70"/>
      <c r="T25" s="70"/>
      <c r="U25" s="70"/>
      <c r="V25" s="70"/>
      <c r="W25" s="70"/>
      <c r="X25" s="70"/>
      <c r="Y25" s="70"/>
    </row>
    <row r="26" spans="1:42" ht="56.1" customHeight="1" x14ac:dyDescent="0.4">
      <c r="A26" s="225">
        <v>1</v>
      </c>
      <c r="B26" s="225" t="s">
        <v>477</v>
      </c>
      <c r="C26" s="33"/>
      <c r="D26" s="202">
        <v>600</v>
      </c>
      <c r="E26" s="202">
        <v>0</v>
      </c>
      <c r="F26" s="202">
        <v>600</v>
      </c>
      <c r="G26" s="218">
        <f t="shared" si="5"/>
        <v>600</v>
      </c>
      <c r="H26" s="203">
        <f t="shared" si="6"/>
        <v>0</v>
      </c>
      <c r="I26" s="290"/>
      <c r="J26" s="219"/>
      <c r="O26" s="89"/>
      <c r="P26" s="72"/>
      <c r="Q26" s="70"/>
      <c r="R26" s="70"/>
      <c r="S26" s="70"/>
      <c r="T26" s="70"/>
      <c r="U26" s="70"/>
      <c r="V26" s="70"/>
      <c r="W26" s="70"/>
      <c r="X26" s="70"/>
      <c r="Y26" s="70"/>
    </row>
    <row r="27" spans="1:42" ht="56.1" customHeight="1" x14ac:dyDescent="0.4">
      <c r="A27" s="225">
        <v>1</v>
      </c>
      <c r="B27" s="225" t="s">
        <v>478</v>
      </c>
      <c r="C27" s="33"/>
      <c r="D27" s="202">
        <v>7200</v>
      </c>
      <c r="E27" s="202">
        <v>2600</v>
      </c>
      <c r="F27" s="202">
        <f>7000-E27</f>
        <v>4400</v>
      </c>
      <c r="G27" s="218">
        <f t="shared" si="0"/>
        <v>7000</v>
      </c>
      <c r="H27" s="203">
        <f t="shared" si="1"/>
        <v>-2.7777777777777857</v>
      </c>
      <c r="I27" s="290"/>
      <c r="J27" s="219">
        <f t="shared" si="2"/>
        <v>0</v>
      </c>
      <c r="P27" s="72"/>
      <c r="Q27" s="70"/>
      <c r="R27" s="70"/>
      <c r="S27" s="70"/>
      <c r="T27" s="70"/>
      <c r="U27" s="70"/>
      <c r="V27" s="70"/>
      <c r="W27" s="70"/>
      <c r="X27" s="70"/>
      <c r="Y27" s="70"/>
      <c r="AP27" s="17" t="s">
        <v>218</v>
      </c>
    </row>
    <row r="28" spans="1:42" ht="56.1" customHeight="1" x14ac:dyDescent="0.4">
      <c r="A28" s="225">
        <v>1</v>
      </c>
      <c r="B28" s="225" t="s">
        <v>479</v>
      </c>
      <c r="C28" s="33"/>
      <c r="D28" s="202">
        <v>3400</v>
      </c>
      <c r="E28" s="202">
        <v>1350</v>
      </c>
      <c r="F28" s="202">
        <f>3800-E28</f>
        <v>2450</v>
      </c>
      <c r="G28" s="218">
        <f t="shared" si="0"/>
        <v>3800</v>
      </c>
      <c r="H28" s="203">
        <f t="shared" si="1"/>
        <v>11.764705882352942</v>
      </c>
      <c r="I28" s="290"/>
      <c r="J28" s="219">
        <f t="shared" si="2"/>
        <v>0</v>
      </c>
      <c r="P28" s="72"/>
      <c r="Q28" s="70"/>
      <c r="R28" s="70"/>
      <c r="S28" s="70"/>
      <c r="T28" s="70"/>
      <c r="U28" s="70"/>
      <c r="V28" s="70"/>
      <c r="W28" s="70"/>
      <c r="X28" s="70"/>
      <c r="Y28" s="70"/>
    </row>
    <row r="29" spans="1:42" ht="56.1" customHeight="1" x14ac:dyDescent="0.4">
      <c r="A29" s="225">
        <v>1</v>
      </c>
      <c r="B29" s="225" t="s">
        <v>480</v>
      </c>
      <c r="C29" s="33"/>
      <c r="D29" s="202">
        <v>600</v>
      </c>
      <c r="E29" s="202">
        <v>192</v>
      </c>
      <c r="F29" s="202">
        <v>0</v>
      </c>
      <c r="G29" s="218">
        <f t="shared" si="0"/>
        <v>192</v>
      </c>
      <c r="H29" s="203">
        <f t="shared" si="1"/>
        <v>-68</v>
      </c>
      <c r="I29" s="290"/>
      <c r="J29" s="219">
        <f t="shared" si="2"/>
        <v>0</v>
      </c>
      <c r="P29" s="72"/>
      <c r="Q29" s="70"/>
      <c r="R29" s="70"/>
      <c r="S29" s="70"/>
      <c r="T29" s="70"/>
      <c r="U29" s="70"/>
      <c r="V29" s="70"/>
      <c r="W29" s="70"/>
      <c r="X29" s="70"/>
      <c r="Y29" s="70"/>
    </row>
    <row r="30" spans="1:42" ht="56.1" customHeight="1" x14ac:dyDescent="0.4">
      <c r="A30" s="225">
        <v>12</v>
      </c>
      <c r="B30" s="225" t="s">
        <v>556</v>
      </c>
      <c r="C30" s="33"/>
      <c r="D30" s="202">
        <v>1200</v>
      </c>
      <c r="E30" s="202">
        <v>486.82</v>
      </c>
      <c r="F30" s="276">
        <f>128.94*1</f>
        <v>128.94</v>
      </c>
      <c r="G30" s="218">
        <f t="shared" si="0"/>
        <v>615.76</v>
      </c>
      <c r="H30" s="203">
        <f t="shared" si="1"/>
        <v>-48.686666666666667</v>
      </c>
      <c r="I30" s="290"/>
      <c r="J30" s="219">
        <f t="shared" si="2"/>
        <v>0</v>
      </c>
      <c r="P30" s="70"/>
      <c r="Q30" s="70"/>
      <c r="R30" s="70"/>
      <c r="S30" s="70"/>
      <c r="T30" s="70"/>
      <c r="U30" s="70"/>
      <c r="V30" s="70"/>
      <c r="W30" s="70"/>
      <c r="X30" s="70"/>
      <c r="Y30" s="70"/>
    </row>
    <row r="31" spans="1:42" ht="56.1" customHeight="1" x14ac:dyDescent="0.4">
      <c r="A31" s="225">
        <v>12</v>
      </c>
      <c r="B31" s="225" t="s">
        <v>482</v>
      </c>
      <c r="C31" s="33"/>
      <c r="D31" s="202">
        <f>7200+800</f>
        <v>8000</v>
      </c>
      <c r="E31" s="202">
        <v>2352.6</v>
      </c>
      <c r="F31" s="226">
        <v>906.7</v>
      </c>
      <c r="G31" s="218">
        <f t="shared" si="0"/>
        <v>3259.3</v>
      </c>
      <c r="H31" s="203">
        <f t="shared" si="1"/>
        <v>-59.258749999999999</v>
      </c>
      <c r="I31" s="290"/>
      <c r="J31" s="219">
        <f t="shared" si="2"/>
        <v>0</v>
      </c>
      <c r="P31" s="70"/>
      <c r="Q31" s="70"/>
      <c r="R31" s="70"/>
      <c r="S31" s="70"/>
      <c r="T31" s="70"/>
      <c r="U31" s="70"/>
      <c r="V31" s="70"/>
      <c r="W31" s="70"/>
      <c r="X31" s="70"/>
      <c r="Y31" s="70"/>
    </row>
    <row r="32" spans="1:42" ht="56.1" customHeight="1" x14ac:dyDescent="0.4">
      <c r="A32" s="225">
        <v>4</v>
      </c>
      <c r="B32" s="225" t="s">
        <v>555</v>
      </c>
      <c r="C32" s="33"/>
      <c r="D32" s="202">
        <v>0</v>
      </c>
      <c r="E32" s="202">
        <v>0</v>
      </c>
      <c r="F32" s="226">
        <v>2600</v>
      </c>
      <c r="G32" s="218">
        <f t="shared" ref="G32:G33" si="9">E32+F32</f>
        <v>2600</v>
      </c>
      <c r="H32" s="203">
        <f t="shared" ref="H32:H33" si="10">IFERROR(G32/D32*100-100,0)</f>
        <v>0</v>
      </c>
      <c r="I32" s="290"/>
      <c r="J32" s="219">
        <f t="shared" ref="J32:J33" si="11">IFERROR(I32/G32*100,)</f>
        <v>0</v>
      </c>
      <c r="P32" s="70"/>
      <c r="Q32" s="70"/>
      <c r="R32" s="70"/>
      <c r="S32" s="70"/>
      <c r="T32" s="70"/>
      <c r="U32" s="70"/>
      <c r="V32" s="70"/>
      <c r="W32" s="70"/>
      <c r="X32" s="70"/>
      <c r="Y32" s="70"/>
    </row>
    <row r="33" spans="1:25" ht="56.1" customHeight="1" x14ac:dyDescent="0.4">
      <c r="A33" s="225">
        <v>4</v>
      </c>
      <c r="B33" s="225" t="s">
        <v>557</v>
      </c>
      <c r="C33" s="33"/>
      <c r="D33" s="202">
        <v>0</v>
      </c>
      <c r="E33" s="202">
        <v>0</v>
      </c>
      <c r="F33" s="226">
        <v>515.76</v>
      </c>
      <c r="G33" s="218">
        <f t="shared" si="9"/>
        <v>515.76</v>
      </c>
      <c r="H33" s="203">
        <f t="shared" si="10"/>
        <v>0</v>
      </c>
      <c r="I33" s="290"/>
      <c r="J33" s="219">
        <f t="shared" si="11"/>
        <v>0</v>
      </c>
      <c r="P33" s="70"/>
      <c r="Q33" s="70"/>
      <c r="R33" s="70"/>
      <c r="S33" s="70"/>
      <c r="T33" s="70"/>
      <c r="U33" s="70"/>
      <c r="V33" s="70"/>
      <c r="W33" s="70"/>
      <c r="X33" s="70"/>
      <c r="Y33" s="70"/>
    </row>
    <row r="34" spans="1:25" ht="56.1" customHeight="1" x14ac:dyDescent="0.4">
      <c r="A34" s="225">
        <v>1</v>
      </c>
      <c r="B34" s="225" t="s">
        <v>483</v>
      </c>
      <c r="C34" s="33"/>
      <c r="D34" s="226">
        <v>3000</v>
      </c>
      <c r="E34" s="202">
        <v>0</v>
      </c>
      <c r="F34" s="202">
        <v>3000</v>
      </c>
      <c r="G34" s="218">
        <f t="shared" si="0"/>
        <v>3000</v>
      </c>
      <c r="H34" s="203">
        <f t="shared" si="1"/>
        <v>0</v>
      </c>
      <c r="I34" s="290"/>
      <c r="J34" s="219">
        <f t="shared" si="2"/>
        <v>0</v>
      </c>
      <c r="P34" s="204"/>
    </row>
    <row r="35" spans="1:25" ht="56.1" customHeight="1" x14ac:dyDescent="0.4">
      <c r="A35" s="33">
        <v>1</v>
      </c>
      <c r="B35" s="33" t="s">
        <v>538</v>
      </c>
      <c r="C35" s="33"/>
      <c r="D35" s="202">
        <v>0</v>
      </c>
      <c r="E35" s="202">
        <v>0</v>
      </c>
      <c r="F35" s="202">
        <v>25000</v>
      </c>
      <c r="G35" s="218">
        <f t="shared" si="0"/>
        <v>25000</v>
      </c>
      <c r="H35" s="203">
        <f t="shared" si="1"/>
        <v>0</v>
      </c>
      <c r="I35" s="290"/>
      <c r="J35" s="219">
        <f t="shared" si="2"/>
        <v>0</v>
      </c>
    </row>
    <row r="36" spans="1:25" ht="56.1" customHeight="1" x14ac:dyDescent="0.4">
      <c r="A36" s="33">
        <v>1</v>
      </c>
      <c r="B36" s="33" t="s">
        <v>544</v>
      </c>
      <c r="C36" s="33"/>
      <c r="D36" s="202">
        <v>0</v>
      </c>
      <c r="E36" s="202">
        <v>0</v>
      </c>
      <c r="F36" s="202">
        <v>3909</v>
      </c>
      <c r="G36" s="218">
        <f t="shared" ref="G36:G39" si="12">E36+F36</f>
        <v>3909</v>
      </c>
      <c r="H36" s="203">
        <f t="shared" ref="H36:H39" si="13">IFERROR(G36/D36*100-100,0)</f>
        <v>0</v>
      </c>
      <c r="I36" s="290"/>
      <c r="J36" s="219">
        <f t="shared" ref="J36:J39" si="14">IFERROR(I36/G36*100,)</f>
        <v>0</v>
      </c>
    </row>
    <row r="37" spans="1:25" ht="56.1" customHeight="1" x14ac:dyDescent="0.4">
      <c r="A37" s="33">
        <v>1</v>
      </c>
      <c r="B37" s="33" t="s">
        <v>558</v>
      </c>
      <c r="C37" s="33"/>
      <c r="D37" s="202">
        <v>0</v>
      </c>
      <c r="E37" s="202">
        <v>0</v>
      </c>
      <c r="F37" s="202">
        <v>10000</v>
      </c>
      <c r="G37" s="218">
        <f t="shared" ref="G37" si="15">E37+F37</f>
        <v>10000</v>
      </c>
      <c r="H37" s="203">
        <f t="shared" ref="H37" si="16">IFERROR(G37/D37*100-100,0)</f>
        <v>0</v>
      </c>
      <c r="I37" s="290"/>
      <c r="J37" s="219">
        <f t="shared" ref="J37" si="17">IFERROR(I37/G37*100,)</f>
        <v>0</v>
      </c>
    </row>
    <row r="38" spans="1:25" ht="56.1" customHeight="1" x14ac:dyDescent="0.4">
      <c r="A38" s="33">
        <v>1</v>
      </c>
      <c r="B38" s="33" t="s">
        <v>541</v>
      </c>
      <c r="C38" s="33"/>
      <c r="D38" s="202">
        <v>0</v>
      </c>
      <c r="E38" s="202">
        <v>0</v>
      </c>
      <c r="F38" s="202">
        <v>10000</v>
      </c>
      <c r="G38" s="218">
        <f t="shared" si="12"/>
        <v>10000</v>
      </c>
      <c r="H38" s="203">
        <f t="shared" si="13"/>
        <v>0</v>
      </c>
      <c r="I38" s="290"/>
      <c r="J38" s="219">
        <f t="shared" si="14"/>
        <v>0</v>
      </c>
    </row>
    <row r="39" spans="1:25" ht="56.1" customHeight="1" x14ac:dyDescent="0.4">
      <c r="A39" s="33">
        <v>1</v>
      </c>
      <c r="B39" s="33" t="s">
        <v>550</v>
      </c>
      <c r="C39" s="33"/>
      <c r="D39" s="202">
        <v>0</v>
      </c>
      <c r="E39" s="202">
        <v>0</v>
      </c>
      <c r="F39" s="226">
        <v>9000</v>
      </c>
      <c r="G39" s="218">
        <f t="shared" si="12"/>
        <v>9000</v>
      </c>
      <c r="H39" s="203">
        <f t="shared" si="13"/>
        <v>0</v>
      </c>
      <c r="I39" s="290"/>
      <c r="J39" s="219">
        <f t="shared" si="14"/>
        <v>0</v>
      </c>
    </row>
    <row r="40" spans="1:25" ht="56.1" customHeight="1" x14ac:dyDescent="0.4">
      <c r="A40" s="33">
        <v>1</v>
      </c>
      <c r="B40" s="33" t="s">
        <v>552</v>
      </c>
      <c r="C40" s="33"/>
      <c r="D40" s="202">
        <v>0</v>
      </c>
      <c r="E40" s="202">
        <v>0</v>
      </c>
      <c r="F40" s="201">
        <v>8000</v>
      </c>
      <c r="G40" s="218">
        <f t="shared" si="0"/>
        <v>8000</v>
      </c>
      <c r="H40" s="203">
        <f t="shared" si="1"/>
        <v>0</v>
      </c>
      <c r="I40" s="290"/>
      <c r="J40" s="219">
        <f t="shared" si="2"/>
        <v>0</v>
      </c>
    </row>
    <row r="41" spans="1:25" ht="56.1" customHeight="1" x14ac:dyDescent="0.4">
      <c r="A41" s="33">
        <v>1</v>
      </c>
      <c r="B41" s="33" t="s">
        <v>540</v>
      </c>
      <c r="C41" s="233"/>
      <c r="D41" s="202">
        <v>0</v>
      </c>
      <c r="E41" s="202">
        <v>0</v>
      </c>
      <c r="F41" s="201">
        <v>50000</v>
      </c>
      <c r="G41" s="218">
        <f t="shared" si="0"/>
        <v>50000</v>
      </c>
      <c r="H41" s="203"/>
      <c r="I41" s="290"/>
      <c r="J41" s="219"/>
    </row>
    <row r="42" spans="1:25" s="205" customFormat="1" ht="56.1" customHeight="1" x14ac:dyDescent="0.25">
      <c r="A42" s="582" t="s">
        <v>0</v>
      </c>
      <c r="B42" s="582"/>
      <c r="C42" s="582"/>
      <c r="D42" s="190">
        <f>SUM(D11:D40)</f>
        <v>534400</v>
      </c>
      <c r="E42" s="190">
        <f>SUM(E11:E41)</f>
        <v>201028.76</v>
      </c>
      <c r="F42" s="190">
        <f>SUM(F11:F41)</f>
        <v>455005.02000000008</v>
      </c>
      <c r="G42" s="190">
        <f>SUM(G11:G41)</f>
        <v>656033.78</v>
      </c>
      <c r="H42" s="190">
        <f t="shared" si="1"/>
        <v>22.760812125748501</v>
      </c>
      <c r="I42" s="291">
        <f>SUM(I11:I40)</f>
        <v>0</v>
      </c>
      <c r="J42" s="190">
        <f t="shared" si="2"/>
        <v>0</v>
      </c>
    </row>
    <row r="43" spans="1:25" s="205" customFormat="1" ht="56.1" customHeight="1" x14ac:dyDescent="0.25">
      <c r="A43" s="227"/>
      <c r="B43" s="227"/>
      <c r="C43" s="227"/>
      <c r="D43" s="228"/>
      <c r="E43" s="228"/>
      <c r="F43" s="228"/>
      <c r="G43" s="228"/>
      <c r="H43" s="293"/>
      <c r="I43" s="228"/>
      <c r="J43" s="228"/>
    </row>
    <row r="44" spans="1:25" s="205" customFormat="1" ht="56.1" customHeight="1" x14ac:dyDescent="0.25">
      <c r="A44" s="586" t="s">
        <v>77</v>
      </c>
      <c r="B44" s="587"/>
      <c r="C44" s="588" t="s">
        <v>525</v>
      </c>
      <c r="D44" s="588"/>
      <c r="E44" s="588"/>
      <c r="F44" s="588"/>
      <c r="G44" s="588"/>
      <c r="H44" s="588"/>
      <c r="I44" s="588"/>
      <c r="J44" s="589"/>
    </row>
    <row r="45" spans="1:25" s="205" customFormat="1" ht="56.1" customHeight="1" x14ac:dyDescent="0.25">
      <c r="A45" s="587" t="s">
        <v>41</v>
      </c>
      <c r="B45" s="587"/>
      <c r="C45" s="590" t="str">
        <f>'Quadro Geral'!G14</f>
        <v>Assegurar a eficácia no atendimento e no relacionamento com os Arquitetos e Urbanistas e a Sociedade</v>
      </c>
      <c r="D45" s="590"/>
      <c r="E45" s="590"/>
      <c r="F45" s="590"/>
      <c r="G45" s="590"/>
      <c r="H45" s="590"/>
      <c r="I45" s="590"/>
      <c r="J45" s="591"/>
    </row>
    <row r="46" spans="1:25" s="205" customFormat="1" ht="56.1" customHeight="1" x14ac:dyDescent="0.25">
      <c r="A46" s="222"/>
      <c r="B46" s="222"/>
      <c r="C46" s="222"/>
      <c r="D46" s="85"/>
      <c r="E46" s="85"/>
      <c r="F46" s="85"/>
      <c r="G46" s="85"/>
      <c r="H46" s="292"/>
      <c r="I46" s="85" t="s">
        <v>221</v>
      </c>
      <c r="J46" s="85"/>
    </row>
    <row r="47" spans="1:25" s="205" customFormat="1" ht="56.1" customHeight="1" x14ac:dyDescent="0.25">
      <c r="A47" s="583" t="s">
        <v>386</v>
      </c>
      <c r="B47" s="584"/>
      <c r="C47" s="584"/>
      <c r="D47" s="583" t="s">
        <v>387</v>
      </c>
      <c r="E47" s="584"/>
      <c r="F47" s="584"/>
      <c r="G47" s="584"/>
      <c r="H47" s="585"/>
      <c r="I47" s="592" t="s">
        <v>222</v>
      </c>
      <c r="J47" s="593"/>
    </row>
    <row r="48" spans="1:25" s="205" customFormat="1" ht="56.1" customHeight="1" x14ac:dyDescent="0.25">
      <c r="A48" s="583" t="s">
        <v>83</v>
      </c>
      <c r="B48" s="584"/>
      <c r="C48" s="585"/>
      <c r="D48" s="594" t="s">
        <v>399</v>
      </c>
      <c r="E48" s="583" t="s">
        <v>400</v>
      </c>
      <c r="F48" s="584"/>
      <c r="G48" s="585"/>
      <c r="H48" s="596" t="s">
        <v>403</v>
      </c>
      <c r="I48" s="597" t="s">
        <v>404</v>
      </c>
      <c r="J48" s="599" t="s">
        <v>405</v>
      </c>
    </row>
    <row r="49" spans="1:10" s="205" customFormat="1" ht="82.5" customHeight="1" x14ac:dyDescent="0.25">
      <c r="A49" s="223" t="s">
        <v>191</v>
      </c>
      <c r="B49" s="223" t="s">
        <v>190</v>
      </c>
      <c r="C49" s="200" t="s">
        <v>132</v>
      </c>
      <c r="D49" s="595"/>
      <c r="E49" s="223" t="s">
        <v>401</v>
      </c>
      <c r="F49" s="223" t="s">
        <v>402</v>
      </c>
      <c r="G49" s="223" t="s">
        <v>200</v>
      </c>
      <c r="H49" s="596"/>
      <c r="I49" s="598"/>
      <c r="J49" s="600"/>
    </row>
    <row r="50" spans="1:10" s="205" customFormat="1" ht="89.25" customHeight="1" x14ac:dyDescent="0.25">
      <c r="A50" s="225">
        <v>12</v>
      </c>
      <c r="B50" s="225" t="s">
        <v>565</v>
      </c>
      <c r="C50" s="33"/>
      <c r="D50" s="226">
        <v>129900</v>
      </c>
      <c r="E50" s="202">
        <v>53310.400000000001</v>
      </c>
      <c r="F50" s="226">
        <v>91039.6</v>
      </c>
      <c r="G50" s="218">
        <f t="shared" ref="G50:G56" si="18">E50+F50</f>
        <v>144350</v>
      </c>
      <c r="H50" s="203">
        <f t="shared" ref="H50:H57" si="19">IFERROR(G50/D50*100-100,0)</f>
        <v>11.123941493456499</v>
      </c>
      <c r="I50" s="290"/>
      <c r="J50" s="219">
        <f t="shared" ref="J50" si="20">IFERROR(I50/G50*100,)</f>
        <v>0</v>
      </c>
    </row>
    <row r="51" spans="1:10" s="205" customFormat="1" ht="56.1" customHeight="1" x14ac:dyDescent="0.25">
      <c r="A51" s="225">
        <v>12</v>
      </c>
      <c r="B51" s="225" t="s">
        <v>484</v>
      </c>
      <c r="C51" s="33"/>
      <c r="D51" s="226">
        <v>14400</v>
      </c>
      <c r="E51" s="202">
        <v>6000</v>
      </c>
      <c r="F51" s="226">
        <v>8400</v>
      </c>
      <c r="G51" s="218">
        <f t="shared" si="18"/>
        <v>14400</v>
      </c>
      <c r="H51" s="203">
        <f t="shared" si="19"/>
        <v>0</v>
      </c>
      <c r="I51" s="290"/>
      <c r="J51" s="219"/>
    </row>
    <row r="52" spans="1:10" s="205" customFormat="1" ht="56.1" customHeight="1" x14ac:dyDescent="0.25">
      <c r="A52" s="225">
        <v>12</v>
      </c>
      <c r="B52" s="225" t="s">
        <v>485</v>
      </c>
      <c r="C52" s="33"/>
      <c r="D52" s="202">
        <v>1300</v>
      </c>
      <c r="E52" s="202">
        <v>88.28</v>
      </c>
      <c r="F52" s="202">
        <f>900-E52</f>
        <v>811.72</v>
      </c>
      <c r="G52" s="218">
        <f t="shared" si="18"/>
        <v>900</v>
      </c>
      <c r="H52" s="203">
        <f t="shared" si="19"/>
        <v>-30.769230769230774</v>
      </c>
      <c r="I52" s="290"/>
      <c r="J52" s="219"/>
    </row>
    <row r="53" spans="1:10" s="205" customFormat="1" ht="56.1" customHeight="1" x14ac:dyDescent="0.25">
      <c r="A53" s="225">
        <v>12</v>
      </c>
      <c r="B53" s="225" t="s">
        <v>486</v>
      </c>
      <c r="C53" s="33"/>
      <c r="D53" s="202">
        <f>14400+1600</f>
        <v>16000</v>
      </c>
      <c r="E53" s="202">
        <v>6261.88</v>
      </c>
      <c r="F53" s="202">
        <v>9098.1200000000008</v>
      </c>
      <c r="G53" s="218">
        <f t="shared" si="18"/>
        <v>15360</v>
      </c>
      <c r="H53" s="203">
        <f t="shared" si="19"/>
        <v>-4</v>
      </c>
      <c r="I53" s="290"/>
      <c r="J53" s="219"/>
    </row>
    <row r="54" spans="1:10" s="205" customFormat="1" ht="56.1" customHeight="1" x14ac:dyDescent="0.25">
      <c r="A54" s="225">
        <v>12</v>
      </c>
      <c r="B54" s="225" t="s">
        <v>481</v>
      </c>
      <c r="C54" s="33"/>
      <c r="D54" s="202">
        <v>1200</v>
      </c>
      <c r="E54" s="202">
        <v>586.82000000000005</v>
      </c>
      <c r="F54" s="277">
        <f>128.94*14</f>
        <v>1805.1599999999999</v>
      </c>
      <c r="G54" s="218">
        <f t="shared" si="18"/>
        <v>2391.98</v>
      </c>
      <c r="H54" s="203">
        <f t="shared" si="19"/>
        <v>99.331666666666649</v>
      </c>
      <c r="I54" s="290"/>
      <c r="J54" s="219"/>
    </row>
    <row r="55" spans="1:10" s="205" customFormat="1" ht="56.1" customHeight="1" x14ac:dyDescent="0.25">
      <c r="A55" s="225">
        <v>12</v>
      </c>
      <c r="B55" s="225" t="s">
        <v>487</v>
      </c>
      <c r="C55" s="33"/>
      <c r="D55" s="202">
        <v>2000</v>
      </c>
      <c r="E55" s="202">
        <v>882.24</v>
      </c>
      <c r="F55" s="202">
        <f>365.24+1000</f>
        <v>1365.24</v>
      </c>
      <c r="G55" s="218">
        <f t="shared" si="18"/>
        <v>2247.48</v>
      </c>
      <c r="H55" s="203">
        <f t="shared" si="19"/>
        <v>12.373999999999995</v>
      </c>
      <c r="I55" s="290"/>
      <c r="J55" s="219"/>
    </row>
    <row r="56" spans="1:10" s="205" customFormat="1" ht="56.1" customHeight="1" x14ac:dyDescent="0.25">
      <c r="A56" s="225">
        <v>1</v>
      </c>
      <c r="B56" s="225" t="s">
        <v>488</v>
      </c>
      <c r="C56" s="33"/>
      <c r="D56" s="202">
        <v>15000</v>
      </c>
      <c r="E56" s="202">
        <v>0</v>
      </c>
      <c r="F56" s="202">
        <v>0</v>
      </c>
      <c r="G56" s="218">
        <f t="shared" si="18"/>
        <v>0</v>
      </c>
      <c r="H56" s="203">
        <f t="shared" si="19"/>
        <v>-100</v>
      </c>
      <c r="I56" s="290"/>
      <c r="J56" s="219"/>
    </row>
    <row r="57" spans="1:10" s="205" customFormat="1" ht="56.1" customHeight="1" x14ac:dyDescent="0.25">
      <c r="A57" s="582" t="s">
        <v>0</v>
      </c>
      <c r="B57" s="582"/>
      <c r="C57" s="582"/>
      <c r="D57" s="190">
        <f>SUM(D50:D56)</f>
        <v>179800</v>
      </c>
      <c r="E57" s="190">
        <f>SUM(E50:E56)</f>
        <v>67129.62000000001</v>
      </c>
      <c r="F57" s="190">
        <f>SUM(F50:F56)</f>
        <v>112519.84000000001</v>
      </c>
      <c r="G57" s="190">
        <f>SUM(G50:G56)</f>
        <v>179649.46000000002</v>
      </c>
      <c r="H57" s="190">
        <f t="shared" si="19"/>
        <v>-8.3726362625128559E-2</v>
      </c>
      <c r="I57" s="291">
        <f>SUM(I50:I56)</f>
        <v>0</v>
      </c>
      <c r="J57" s="190">
        <f t="shared" ref="J57" si="21">IFERROR(I57/G57*100,)</f>
        <v>0</v>
      </c>
    </row>
    <row r="58" spans="1:10" s="205" customFormat="1" ht="56.1" customHeight="1" x14ac:dyDescent="0.25">
      <c r="A58" s="227"/>
      <c r="B58" s="227"/>
      <c r="C58" s="227"/>
      <c r="D58" s="228"/>
      <c r="E58" s="228"/>
      <c r="F58" s="228"/>
      <c r="G58" s="228"/>
      <c r="H58" s="293"/>
      <c r="I58" s="228"/>
      <c r="J58" s="228"/>
    </row>
    <row r="59" spans="1:10" s="205" customFormat="1" ht="56.1" customHeight="1" x14ac:dyDescent="0.25">
      <c r="A59" s="586" t="s">
        <v>77</v>
      </c>
      <c r="B59" s="587"/>
      <c r="C59" s="588" t="s">
        <v>526</v>
      </c>
      <c r="D59" s="588"/>
      <c r="E59" s="588"/>
      <c r="F59" s="588"/>
      <c r="G59" s="588"/>
      <c r="H59" s="588"/>
      <c r="I59" s="588"/>
      <c r="J59" s="589"/>
    </row>
    <row r="60" spans="1:10" s="205" customFormat="1" ht="56.1" customHeight="1" x14ac:dyDescent="0.25">
      <c r="A60" s="587" t="s">
        <v>41</v>
      </c>
      <c r="B60" s="587"/>
      <c r="C60" s="590" t="str">
        <f>'Quadro Geral'!G15</f>
        <v>Tornar a fiscalização um vetor de melhoria do exercício da Arquitetura e Urbanismo</v>
      </c>
      <c r="D60" s="590"/>
      <c r="E60" s="590"/>
      <c r="F60" s="590"/>
      <c r="G60" s="590"/>
      <c r="H60" s="590"/>
      <c r="I60" s="590"/>
      <c r="J60" s="591"/>
    </row>
    <row r="61" spans="1:10" s="205" customFormat="1" ht="56.1" customHeight="1" x14ac:dyDescent="0.25">
      <c r="A61" s="222"/>
      <c r="B61" s="222"/>
      <c r="C61" s="222"/>
      <c r="D61" s="85"/>
      <c r="E61" s="85"/>
      <c r="F61" s="85"/>
      <c r="G61" s="85"/>
      <c r="H61" s="292"/>
      <c r="I61" s="85" t="s">
        <v>221</v>
      </c>
      <c r="J61" s="85"/>
    </row>
    <row r="62" spans="1:10" s="205" customFormat="1" ht="56.1" customHeight="1" x14ac:dyDescent="0.25">
      <c r="A62" s="583" t="s">
        <v>386</v>
      </c>
      <c r="B62" s="584"/>
      <c r="C62" s="584"/>
      <c r="D62" s="583" t="s">
        <v>387</v>
      </c>
      <c r="E62" s="584"/>
      <c r="F62" s="584"/>
      <c r="G62" s="584"/>
      <c r="H62" s="585"/>
      <c r="I62" s="592" t="s">
        <v>222</v>
      </c>
      <c r="J62" s="593"/>
    </row>
    <row r="63" spans="1:10" s="205" customFormat="1" ht="56.1" customHeight="1" x14ac:dyDescent="0.25">
      <c r="A63" s="583" t="s">
        <v>83</v>
      </c>
      <c r="B63" s="584"/>
      <c r="C63" s="585"/>
      <c r="D63" s="594" t="s">
        <v>399</v>
      </c>
      <c r="E63" s="583" t="s">
        <v>400</v>
      </c>
      <c r="F63" s="584"/>
      <c r="G63" s="585"/>
      <c r="H63" s="596" t="s">
        <v>403</v>
      </c>
      <c r="I63" s="597" t="s">
        <v>404</v>
      </c>
      <c r="J63" s="599" t="s">
        <v>405</v>
      </c>
    </row>
    <row r="64" spans="1:10" s="205" customFormat="1" ht="56.1" customHeight="1" x14ac:dyDescent="0.25">
      <c r="A64" s="223" t="s">
        <v>191</v>
      </c>
      <c r="B64" s="223" t="s">
        <v>190</v>
      </c>
      <c r="C64" s="200" t="s">
        <v>132</v>
      </c>
      <c r="D64" s="595"/>
      <c r="E64" s="223" t="s">
        <v>401</v>
      </c>
      <c r="F64" s="223" t="s">
        <v>402</v>
      </c>
      <c r="G64" s="223" t="s">
        <v>200</v>
      </c>
      <c r="H64" s="596"/>
      <c r="I64" s="598"/>
      <c r="J64" s="600"/>
    </row>
    <row r="65" spans="1:10" s="205" customFormat="1" ht="94.5" customHeight="1" x14ac:dyDescent="0.25">
      <c r="A65" s="225">
        <v>12</v>
      </c>
      <c r="B65" s="225" t="s">
        <v>489</v>
      </c>
      <c r="C65" s="33"/>
      <c r="D65" s="226">
        <v>253600</v>
      </c>
      <c r="E65" s="202">
        <v>99705.78</v>
      </c>
      <c r="F65" s="226">
        <v>166804.22</v>
      </c>
      <c r="G65" s="218">
        <f t="shared" ref="G65:G69" si="22">E65+F65</f>
        <v>266510</v>
      </c>
      <c r="H65" s="203">
        <f t="shared" ref="H65:H74" si="23">IFERROR(G65/D65*100-100,0)</f>
        <v>5.0906940063091497</v>
      </c>
      <c r="I65" s="290"/>
      <c r="J65" s="219">
        <f t="shared" ref="J65" si="24">IFERROR(I65/G65*100,)</f>
        <v>0</v>
      </c>
    </row>
    <row r="66" spans="1:10" s="205" customFormat="1" ht="56.1" customHeight="1" x14ac:dyDescent="0.25">
      <c r="A66" s="225">
        <v>12</v>
      </c>
      <c r="B66" s="225" t="s">
        <v>490</v>
      </c>
      <c r="C66" s="33"/>
      <c r="D66" s="226">
        <v>21600</v>
      </c>
      <c r="E66" s="202">
        <v>9000</v>
      </c>
      <c r="F66" s="226">
        <v>12600</v>
      </c>
      <c r="G66" s="218">
        <f t="shared" si="22"/>
        <v>21600</v>
      </c>
      <c r="H66" s="203">
        <f t="shared" si="23"/>
        <v>0</v>
      </c>
      <c r="I66" s="290"/>
      <c r="J66" s="219"/>
    </row>
    <row r="67" spans="1:10" s="205" customFormat="1" ht="56.1" customHeight="1" x14ac:dyDescent="0.25">
      <c r="A67" s="225">
        <v>12</v>
      </c>
      <c r="B67" s="225" t="s">
        <v>485</v>
      </c>
      <c r="C67" s="33"/>
      <c r="D67" s="202">
        <v>1300</v>
      </c>
      <c r="E67" s="202">
        <v>214.86</v>
      </c>
      <c r="F67" s="202">
        <f>900-E67</f>
        <v>685.14</v>
      </c>
      <c r="G67" s="218">
        <f t="shared" si="22"/>
        <v>900</v>
      </c>
      <c r="H67" s="203">
        <f t="shared" si="23"/>
        <v>-30.769230769230774</v>
      </c>
      <c r="I67" s="290"/>
      <c r="J67" s="219"/>
    </row>
    <row r="68" spans="1:10" s="205" customFormat="1" ht="56.1" customHeight="1" x14ac:dyDescent="0.25">
      <c r="A68" s="225">
        <v>12</v>
      </c>
      <c r="B68" s="225" t="s">
        <v>491</v>
      </c>
      <c r="C68" s="33"/>
      <c r="D68" s="202">
        <v>17000</v>
      </c>
      <c r="E68" s="202">
        <v>6914.45</v>
      </c>
      <c r="F68" s="202">
        <f>18000-E68</f>
        <v>11085.55</v>
      </c>
      <c r="G68" s="218">
        <f t="shared" si="22"/>
        <v>18000</v>
      </c>
      <c r="H68" s="203">
        <f t="shared" si="23"/>
        <v>5.8823529411764781</v>
      </c>
      <c r="I68" s="290"/>
      <c r="J68" s="219"/>
    </row>
    <row r="69" spans="1:10" s="205" customFormat="1" ht="56.1" customHeight="1" x14ac:dyDescent="0.25">
      <c r="A69" s="225">
        <v>6</v>
      </c>
      <c r="B69" s="225" t="s">
        <v>543</v>
      </c>
      <c r="C69" s="33"/>
      <c r="D69" s="202">
        <f>2000+300+4000</f>
        <v>6300</v>
      </c>
      <c r="E69" s="202">
        <f>1525.64+2196+250.24</f>
        <v>3971.88</v>
      </c>
      <c r="F69" s="202">
        <f>D69-E69</f>
        <v>2328.12</v>
      </c>
      <c r="G69" s="218">
        <f t="shared" si="22"/>
        <v>6300</v>
      </c>
      <c r="H69" s="203">
        <f t="shared" si="23"/>
        <v>0</v>
      </c>
      <c r="I69" s="290"/>
      <c r="J69" s="219"/>
    </row>
    <row r="70" spans="1:10" s="205" customFormat="1" ht="56.1" customHeight="1" x14ac:dyDescent="0.25">
      <c r="A70" s="225">
        <v>17</v>
      </c>
      <c r="B70" s="225" t="s">
        <v>492</v>
      </c>
      <c r="C70" s="33"/>
      <c r="D70" s="202">
        <v>23000</v>
      </c>
      <c r="E70" s="202">
        <v>7200</v>
      </c>
      <c r="F70" s="202">
        <f>35000-E70</f>
        <v>27800</v>
      </c>
      <c r="G70" s="218">
        <f t="shared" ref="G70:G73" si="25">E70+F70</f>
        <v>35000</v>
      </c>
      <c r="H70" s="203">
        <f t="shared" ref="H70:H73" si="26">IFERROR(G70/D70*100-100,0)</f>
        <v>52.173913043478279</v>
      </c>
      <c r="I70" s="290"/>
      <c r="J70" s="219"/>
    </row>
    <row r="71" spans="1:10" s="205" customFormat="1" ht="56.1" customHeight="1" x14ac:dyDescent="0.25">
      <c r="A71" s="225">
        <v>1</v>
      </c>
      <c r="B71" s="225" t="s">
        <v>493</v>
      </c>
      <c r="C71" s="33"/>
      <c r="D71" s="202">
        <v>4800</v>
      </c>
      <c r="E71" s="202">
        <v>0</v>
      </c>
      <c r="F71" s="202">
        <v>4800</v>
      </c>
      <c r="G71" s="218">
        <f t="shared" si="25"/>
        <v>4800</v>
      </c>
      <c r="H71" s="203">
        <f t="shared" si="26"/>
        <v>0</v>
      </c>
      <c r="I71" s="290"/>
      <c r="J71" s="219"/>
    </row>
    <row r="72" spans="1:10" s="205" customFormat="1" ht="56.1" customHeight="1" x14ac:dyDescent="0.25">
      <c r="A72" s="225">
        <v>1</v>
      </c>
      <c r="B72" s="225" t="s">
        <v>494</v>
      </c>
      <c r="C72" s="33"/>
      <c r="D72" s="202">
        <v>4000</v>
      </c>
      <c r="E72" s="202">
        <v>0</v>
      </c>
      <c r="F72" s="202">
        <v>4000</v>
      </c>
      <c r="G72" s="218">
        <f t="shared" si="25"/>
        <v>4000</v>
      </c>
      <c r="H72" s="203">
        <f t="shared" si="26"/>
        <v>0</v>
      </c>
      <c r="I72" s="290"/>
      <c r="J72" s="219"/>
    </row>
    <row r="73" spans="1:10" s="205" customFormat="1" ht="56.1" customHeight="1" x14ac:dyDescent="0.25">
      <c r="A73" s="225">
        <v>12</v>
      </c>
      <c r="B73" s="225" t="s">
        <v>495</v>
      </c>
      <c r="C73" s="33"/>
      <c r="D73" s="202">
        <v>4000</v>
      </c>
      <c r="E73" s="202">
        <v>1132.92</v>
      </c>
      <c r="F73" s="202">
        <f>6000-E73</f>
        <v>4867.08</v>
      </c>
      <c r="G73" s="218">
        <f t="shared" si="25"/>
        <v>6000</v>
      </c>
      <c r="H73" s="203">
        <f t="shared" si="26"/>
        <v>50</v>
      </c>
      <c r="I73" s="290"/>
      <c r="J73" s="219"/>
    </row>
    <row r="74" spans="1:10" s="205" customFormat="1" ht="56.1" customHeight="1" x14ac:dyDescent="0.25">
      <c r="A74" s="582" t="s">
        <v>0</v>
      </c>
      <c r="B74" s="582"/>
      <c r="C74" s="582"/>
      <c r="D74" s="190">
        <f>SUM(D65:D73)</f>
        <v>335600</v>
      </c>
      <c r="E74" s="190">
        <f>SUM(E65:E73)</f>
        <v>128139.89</v>
      </c>
      <c r="F74" s="190">
        <f>SUM(F65:F73)</f>
        <v>234970.11</v>
      </c>
      <c r="G74" s="190">
        <f>SUM(G65:G73)</f>
        <v>363110</v>
      </c>
      <c r="H74" s="190">
        <f t="shared" si="23"/>
        <v>8.1972586412395714</v>
      </c>
      <c r="I74" s="291">
        <f>SUM(I65:I73)</f>
        <v>0</v>
      </c>
      <c r="J74" s="190">
        <f t="shared" ref="J74" si="27">IFERROR(I74/G74*100,)</f>
        <v>0</v>
      </c>
    </row>
    <row r="75" spans="1:10" s="205" customFormat="1" ht="56.1" customHeight="1" x14ac:dyDescent="0.25">
      <c r="A75" s="227"/>
      <c r="B75" s="227"/>
      <c r="C75" s="227"/>
      <c r="D75" s="228"/>
      <c r="E75" s="228"/>
      <c r="F75" s="228"/>
      <c r="G75" s="228"/>
      <c r="H75" s="293"/>
      <c r="I75" s="228"/>
      <c r="J75" s="228"/>
    </row>
    <row r="76" spans="1:10" s="205" customFormat="1" ht="56.1" customHeight="1" x14ac:dyDescent="0.25">
      <c r="A76" s="586" t="s">
        <v>77</v>
      </c>
      <c r="B76" s="587"/>
      <c r="C76" s="588" t="s">
        <v>527</v>
      </c>
      <c r="D76" s="588"/>
      <c r="E76" s="588"/>
      <c r="F76" s="588"/>
      <c r="G76" s="588"/>
      <c r="H76" s="588"/>
      <c r="I76" s="588"/>
      <c r="J76" s="589"/>
    </row>
    <row r="77" spans="1:10" s="205" customFormat="1" ht="56.1" customHeight="1" x14ac:dyDescent="0.25">
      <c r="A77" s="587" t="s">
        <v>41</v>
      </c>
      <c r="B77" s="587"/>
      <c r="C77" s="590" t="str">
        <f>'Quadro Geral'!G16</f>
        <v>Assegurar a eficácia no relacionamento e comunicação com a sociedade</v>
      </c>
      <c r="D77" s="590"/>
      <c r="E77" s="590"/>
      <c r="F77" s="590"/>
      <c r="G77" s="590"/>
      <c r="H77" s="590"/>
      <c r="I77" s="590"/>
      <c r="J77" s="591"/>
    </row>
    <row r="78" spans="1:10" s="205" customFormat="1" ht="56.1" customHeight="1" x14ac:dyDescent="0.25">
      <c r="A78" s="222"/>
      <c r="B78" s="222"/>
      <c r="C78" s="222"/>
      <c r="D78" s="85"/>
      <c r="E78" s="85"/>
      <c r="F78" s="85"/>
      <c r="G78" s="85"/>
      <c r="H78" s="292"/>
      <c r="I78" s="85" t="s">
        <v>221</v>
      </c>
      <c r="J78" s="85"/>
    </row>
    <row r="79" spans="1:10" s="205" customFormat="1" ht="56.1" customHeight="1" x14ac:dyDescent="0.25">
      <c r="A79" s="583" t="s">
        <v>386</v>
      </c>
      <c r="B79" s="584"/>
      <c r="C79" s="584"/>
      <c r="D79" s="583" t="s">
        <v>387</v>
      </c>
      <c r="E79" s="584"/>
      <c r="F79" s="584"/>
      <c r="G79" s="584"/>
      <c r="H79" s="585"/>
      <c r="I79" s="592" t="s">
        <v>222</v>
      </c>
      <c r="J79" s="593"/>
    </row>
    <row r="80" spans="1:10" s="205" customFormat="1" ht="56.1" customHeight="1" x14ac:dyDescent="0.25">
      <c r="A80" s="583" t="s">
        <v>83</v>
      </c>
      <c r="B80" s="584"/>
      <c r="C80" s="585"/>
      <c r="D80" s="594" t="s">
        <v>399</v>
      </c>
      <c r="E80" s="583" t="s">
        <v>400</v>
      </c>
      <c r="F80" s="584"/>
      <c r="G80" s="585"/>
      <c r="H80" s="596" t="s">
        <v>403</v>
      </c>
      <c r="I80" s="597" t="s">
        <v>404</v>
      </c>
      <c r="J80" s="599" t="s">
        <v>405</v>
      </c>
    </row>
    <row r="81" spans="1:10" s="205" customFormat="1" ht="56.1" customHeight="1" x14ac:dyDescent="0.25">
      <c r="A81" s="223" t="s">
        <v>191</v>
      </c>
      <c r="B81" s="223" t="s">
        <v>190</v>
      </c>
      <c r="C81" s="200" t="s">
        <v>132</v>
      </c>
      <c r="D81" s="595"/>
      <c r="E81" s="223" t="s">
        <v>401</v>
      </c>
      <c r="F81" s="223" t="s">
        <v>402</v>
      </c>
      <c r="G81" s="223" t="s">
        <v>200</v>
      </c>
      <c r="H81" s="596"/>
      <c r="I81" s="598"/>
      <c r="J81" s="600"/>
    </row>
    <row r="82" spans="1:10" s="205" customFormat="1" ht="56.1" customHeight="1" x14ac:dyDescent="0.25">
      <c r="A82" s="225">
        <v>12</v>
      </c>
      <c r="B82" s="225" t="s">
        <v>496</v>
      </c>
      <c r="C82" s="33"/>
      <c r="D82" s="226">
        <v>83400</v>
      </c>
      <c r="E82" s="202">
        <v>29868.21</v>
      </c>
      <c r="F82" s="226">
        <v>52911.79</v>
      </c>
      <c r="G82" s="218">
        <f t="shared" ref="G82:G88" si="28">E82+F82</f>
        <v>82780</v>
      </c>
      <c r="H82" s="203">
        <f t="shared" ref="H82:H90" si="29">IFERROR(G82/D82*100-100,0)</f>
        <v>-0.74340527577938076</v>
      </c>
      <c r="I82" s="290"/>
      <c r="J82" s="219">
        <f t="shared" ref="J82" si="30">IFERROR(I82/G82*100,)</f>
        <v>0</v>
      </c>
    </row>
    <row r="83" spans="1:10" s="205" customFormat="1" ht="56.1" customHeight="1" x14ac:dyDescent="0.25">
      <c r="A83" s="225">
        <v>12</v>
      </c>
      <c r="B83" s="225" t="s">
        <v>497</v>
      </c>
      <c r="C83" s="33"/>
      <c r="D83" s="226">
        <v>14400</v>
      </c>
      <c r="E83" s="202">
        <v>6000</v>
      </c>
      <c r="F83" s="226">
        <v>8400</v>
      </c>
      <c r="G83" s="218">
        <f t="shared" si="28"/>
        <v>14400</v>
      </c>
      <c r="H83" s="203">
        <f t="shared" si="29"/>
        <v>0</v>
      </c>
      <c r="I83" s="290"/>
      <c r="J83" s="219"/>
    </row>
    <row r="84" spans="1:10" s="205" customFormat="1" ht="56.1" customHeight="1" x14ac:dyDescent="0.25">
      <c r="A84" s="225">
        <v>12</v>
      </c>
      <c r="B84" s="225" t="s">
        <v>485</v>
      </c>
      <c r="C84" s="33"/>
      <c r="D84" s="202">
        <v>1200</v>
      </c>
      <c r="E84" s="202">
        <v>126.22</v>
      </c>
      <c r="F84" s="202">
        <f>900-E84</f>
        <v>773.78</v>
      </c>
      <c r="G84" s="218">
        <f t="shared" si="28"/>
        <v>900</v>
      </c>
      <c r="H84" s="203">
        <f t="shared" si="29"/>
        <v>-25</v>
      </c>
      <c r="I84" s="290"/>
      <c r="J84" s="219"/>
    </row>
    <row r="85" spans="1:10" s="205" customFormat="1" ht="56.1" customHeight="1" x14ac:dyDescent="0.25">
      <c r="A85" s="225">
        <v>1</v>
      </c>
      <c r="B85" s="225" t="s">
        <v>498</v>
      </c>
      <c r="C85" s="33"/>
      <c r="D85" s="202">
        <v>2400</v>
      </c>
      <c r="E85" s="202">
        <v>0</v>
      </c>
      <c r="F85" s="202">
        <v>2400</v>
      </c>
      <c r="G85" s="218">
        <f t="shared" ref="G85:G86" si="31">E85+F85</f>
        <v>2400</v>
      </c>
      <c r="H85" s="203">
        <f t="shared" ref="H85:H86" si="32">IFERROR(G85/D85*100-100,0)</f>
        <v>0</v>
      </c>
      <c r="I85" s="290"/>
      <c r="J85" s="219"/>
    </row>
    <row r="86" spans="1:10" s="205" customFormat="1" ht="56.1" customHeight="1" x14ac:dyDescent="0.25">
      <c r="A86" s="225">
        <v>1</v>
      </c>
      <c r="B86" s="225" t="s">
        <v>499</v>
      </c>
      <c r="C86" s="33"/>
      <c r="D86" s="202">
        <v>2500</v>
      </c>
      <c r="E86" s="202">
        <v>0</v>
      </c>
      <c r="F86" s="202">
        <v>2500</v>
      </c>
      <c r="G86" s="218">
        <f t="shared" si="31"/>
        <v>2500</v>
      </c>
      <c r="H86" s="203">
        <f t="shared" si="32"/>
        <v>0</v>
      </c>
      <c r="I86" s="290"/>
      <c r="J86" s="219"/>
    </row>
    <row r="87" spans="1:10" s="205" customFormat="1" ht="56.1" customHeight="1" x14ac:dyDescent="0.25">
      <c r="A87" s="225">
        <v>1</v>
      </c>
      <c r="B87" s="225" t="s">
        <v>553</v>
      </c>
      <c r="C87" s="33"/>
      <c r="D87" s="202">
        <v>0</v>
      </c>
      <c r="E87" s="202">
        <v>0</v>
      </c>
      <c r="F87" s="202">
        <v>5000</v>
      </c>
      <c r="G87" s="218">
        <f t="shared" si="28"/>
        <v>5000</v>
      </c>
      <c r="H87" s="203">
        <f t="shared" si="29"/>
        <v>0</v>
      </c>
      <c r="I87" s="290"/>
      <c r="J87" s="219"/>
    </row>
    <row r="88" spans="1:10" s="205" customFormat="1" ht="56.1" customHeight="1" x14ac:dyDescent="0.25">
      <c r="A88" s="225">
        <v>1</v>
      </c>
      <c r="B88" s="225" t="s">
        <v>554</v>
      </c>
      <c r="C88" s="33"/>
      <c r="D88" s="202">
        <v>0</v>
      </c>
      <c r="E88" s="202">
        <v>0</v>
      </c>
      <c r="F88" s="202">
        <v>2000</v>
      </c>
      <c r="G88" s="218">
        <f t="shared" si="28"/>
        <v>2000</v>
      </c>
      <c r="H88" s="203">
        <f t="shared" si="29"/>
        <v>0</v>
      </c>
      <c r="I88" s="290"/>
      <c r="J88" s="219"/>
    </row>
    <row r="89" spans="1:10" s="205" customFormat="1" ht="56.1" customHeight="1" x14ac:dyDescent="0.25">
      <c r="A89" s="225">
        <v>1</v>
      </c>
      <c r="B89" s="225" t="s">
        <v>551</v>
      </c>
      <c r="C89" s="33"/>
      <c r="D89" s="202">
        <v>0</v>
      </c>
      <c r="E89" s="202">
        <v>0</v>
      </c>
      <c r="F89" s="202">
        <v>1000</v>
      </c>
      <c r="G89" s="218">
        <f t="shared" ref="G89" si="33">E89+F89</f>
        <v>1000</v>
      </c>
      <c r="H89" s="203">
        <f t="shared" ref="H89" si="34">IFERROR(G89/D89*100-100,0)</f>
        <v>0</v>
      </c>
      <c r="I89" s="290"/>
      <c r="J89" s="219"/>
    </row>
    <row r="90" spans="1:10" s="205" customFormat="1" ht="56.1" customHeight="1" x14ac:dyDescent="0.25">
      <c r="A90" s="582" t="s">
        <v>0</v>
      </c>
      <c r="B90" s="582"/>
      <c r="C90" s="582"/>
      <c r="D90" s="190">
        <f>SUM(D82:D89)</f>
        <v>103900</v>
      </c>
      <c r="E90" s="190">
        <f>SUM(E82:E89)</f>
        <v>35994.43</v>
      </c>
      <c r="F90" s="190">
        <f>SUM(F82:F89)</f>
        <v>74985.570000000007</v>
      </c>
      <c r="G90" s="190">
        <f>SUM(G82:G89)</f>
        <v>110980</v>
      </c>
      <c r="H90" s="190">
        <f t="shared" si="29"/>
        <v>6.8142444658325445</v>
      </c>
      <c r="I90" s="291">
        <f>SUM(I82:I89)</f>
        <v>0</v>
      </c>
      <c r="J90" s="190">
        <f t="shared" ref="J90" si="35">IFERROR(I90/G90*100,)</f>
        <v>0</v>
      </c>
    </row>
    <row r="91" spans="1:10" s="205" customFormat="1" ht="56.1" customHeight="1" x14ac:dyDescent="0.25">
      <c r="A91" s="227"/>
      <c r="B91" s="227"/>
      <c r="C91" s="227"/>
      <c r="D91" s="228"/>
      <c r="E91" s="228"/>
      <c r="F91" s="228"/>
      <c r="G91" s="228"/>
      <c r="H91" s="293"/>
      <c r="I91" s="228"/>
      <c r="J91" s="228"/>
    </row>
    <row r="92" spans="1:10" s="205" customFormat="1" ht="56.1" customHeight="1" x14ac:dyDescent="0.25">
      <c r="A92" s="586" t="s">
        <v>77</v>
      </c>
      <c r="B92" s="587"/>
      <c r="C92" s="588" t="s">
        <v>528</v>
      </c>
      <c r="D92" s="588"/>
      <c r="E92" s="588"/>
      <c r="F92" s="588"/>
      <c r="G92" s="588"/>
      <c r="H92" s="588"/>
      <c r="I92" s="588"/>
      <c r="J92" s="589"/>
    </row>
    <row r="93" spans="1:10" s="205" customFormat="1" ht="56.1" customHeight="1" x14ac:dyDescent="0.25">
      <c r="A93" s="587" t="s">
        <v>41</v>
      </c>
      <c r="B93" s="587"/>
      <c r="C93" s="590" t="str">
        <f>'Quadro Geral'!G17</f>
        <v>Estimular o conhecimento, o uso de processos criativos e a difusão das melhores práticas em Arquitetura e Urbanismo</v>
      </c>
      <c r="D93" s="590"/>
      <c r="E93" s="590"/>
      <c r="F93" s="590"/>
      <c r="G93" s="590"/>
      <c r="H93" s="590"/>
      <c r="I93" s="590"/>
      <c r="J93" s="591"/>
    </row>
    <row r="94" spans="1:10" s="205" customFormat="1" ht="56.1" customHeight="1" x14ac:dyDescent="0.25">
      <c r="A94" s="222"/>
      <c r="B94" s="222"/>
      <c r="C94" s="222"/>
      <c r="D94" s="85"/>
      <c r="E94" s="85"/>
      <c r="F94" s="85"/>
      <c r="G94" s="85"/>
      <c r="H94" s="292"/>
      <c r="I94" s="85" t="s">
        <v>221</v>
      </c>
      <c r="J94" s="85"/>
    </row>
    <row r="95" spans="1:10" s="205" customFormat="1" ht="56.1" customHeight="1" x14ac:dyDescent="0.25">
      <c r="A95" s="583" t="s">
        <v>386</v>
      </c>
      <c r="B95" s="584"/>
      <c r="C95" s="584"/>
      <c r="D95" s="583" t="s">
        <v>387</v>
      </c>
      <c r="E95" s="584"/>
      <c r="F95" s="584"/>
      <c r="G95" s="584"/>
      <c r="H95" s="585"/>
      <c r="I95" s="592" t="s">
        <v>222</v>
      </c>
      <c r="J95" s="593"/>
    </row>
    <row r="96" spans="1:10" s="205" customFormat="1" ht="56.1" customHeight="1" x14ac:dyDescent="0.25">
      <c r="A96" s="583" t="s">
        <v>83</v>
      </c>
      <c r="B96" s="584"/>
      <c r="C96" s="585"/>
      <c r="D96" s="594" t="s">
        <v>399</v>
      </c>
      <c r="E96" s="583" t="s">
        <v>400</v>
      </c>
      <c r="F96" s="584"/>
      <c r="G96" s="585"/>
      <c r="H96" s="596" t="s">
        <v>403</v>
      </c>
      <c r="I96" s="597" t="s">
        <v>404</v>
      </c>
      <c r="J96" s="599" t="s">
        <v>405</v>
      </c>
    </row>
    <row r="97" spans="1:10" s="205" customFormat="1" ht="56.1" customHeight="1" x14ac:dyDescent="0.25">
      <c r="A97" s="223" t="s">
        <v>191</v>
      </c>
      <c r="B97" s="223" t="s">
        <v>190</v>
      </c>
      <c r="C97" s="200" t="s">
        <v>132</v>
      </c>
      <c r="D97" s="595"/>
      <c r="E97" s="223" t="s">
        <v>401</v>
      </c>
      <c r="F97" s="223" t="s">
        <v>402</v>
      </c>
      <c r="G97" s="223" t="s">
        <v>200</v>
      </c>
      <c r="H97" s="596"/>
      <c r="I97" s="598"/>
      <c r="J97" s="600"/>
    </row>
    <row r="98" spans="1:10" s="205" customFormat="1" ht="118.5" customHeight="1" x14ac:dyDescent="0.25">
      <c r="A98" s="225">
        <v>1</v>
      </c>
      <c r="B98" s="225" t="s">
        <v>500</v>
      </c>
      <c r="C98" s="33"/>
      <c r="D98" s="202">
        <v>22000</v>
      </c>
      <c r="E98" s="202">
        <v>0</v>
      </c>
      <c r="F98" s="202">
        <v>30000</v>
      </c>
      <c r="G98" s="218">
        <f t="shared" ref="G98" si="36">E98+F98</f>
        <v>30000</v>
      </c>
      <c r="H98" s="203">
        <f t="shared" ref="H98:H99" si="37">IFERROR(G98/D98*100-100,0)</f>
        <v>36.363636363636346</v>
      </c>
      <c r="I98" s="290"/>
      <c r="J98" s="219">
        <f t="shared" ref="J98" si="38">IFERROR(I98/G98*100,)</f>
        <v>0</v>
      </c>
    </row>
    <row r="99" spans="1:10" s="205" customFormat="1" ht="56.1" customHeight="1" x14ac:dyDescent="0.25">
      <c r="A99" s="582" t="s">
        <v>0</v>
      </c>
      <c r="B99" s="582"/>
      <c r="C99" s="582"/>
      <c r="D99" s="190">
        <f>SUM(D98:D98)</f>
        <v>22000</v>
      </c>
      <c r="E99" s="190">
        <f>SUM(E98:E98)</f>
        <v>0</v>
      </c>
      <c r="F99" s="190">
        <f>SUM(F98:F98)</f>
        <v>30000</v>
      </c>
      <c r="G99" s="190">
        <f>SUM(G98:G98)</f>
        <v>30000</v>
      </c>
      <c r="H99" s="190">
        <f t="shared" si="37"/>
        <v>36.363636363636346</v>
      </c>
      <c r="I99" s="291">
        <f>SUM(I98:I98)</f>
        <v>0</v>
      </c>
      <c r="J99" s="190">
        <f t="shared" ref="J99" si="39">IFERROR(I99/G99*100,)</f>
        <v>0</v>
      </c>
    </row>
    <row r="100" spans="1:10" s="205" customFormat="1" ht="56.1" customHeight="1" x14ac:dyDescent="0.25">
      <c r="A100" s="227"/>
      <c r="B100" s="227"/>
      <c r="C100" s="227"/>
      <c r="D100" s="228"/>
      <c r="E100" s="228"/>
      <c r="F100" s="228"/>
      <c r="G100" s="228"/>
      <c r="H100" s="293"/>
      <c r="I100" s="228"/>
      <c r="J100" s="228"/>
    </row>
    <row r="101" spans="1:10" s="205" customFormat="1" ht="56.1" customHeight="1" x14ac:dyDescent="0.25">
      <c r="A101" s="586" t="s">
        <v>77</v>
      </c>
      <c r="B101" s="587"/>
      <c r="C101" s="588" t="s">
        <v>529</v>
      </c>
      <c r="D101" s="588"/>
      <c r="E101" s="588"/>
      <c r="F101" s="588"/>
      <c r="G101" s="588"/>
      <c r="H101" s="588"/>
      <c r="I101" s="588"/>
      <c r="J101" s="589"/>
    </row>
    <row r="102" spans="1:10" s="205" customFormat="1" ht="56.1" customHeight="1" x14ac:dyDescent="0.25">
      <c r="A102" s="587" t="s">
        <v>41</v>
      </c>
      <c r="B102" s="587"/>
      <c r="C102" s="590" t="str">
        <f>'Quadro Geral'!G18</f>
        <v>Desenvolver competências de dirigentes e colaboradores</v>
      </c>
      <c r="D102" s="590"/>
      <c r="E102" s="590"/>
      <c r="F102" s="590"/>
      <c r="G102" s="590"/>
      <c r="H102" s="590"/>
      <c r="I102" s="590"/>
      <c r="J102" s="591"/>
    </row>
    <row r="103" spans="1:10" s="205" customFormat="1" ht="56.1" customHeight="1" x14ac:dyDescent="0.25">
      <c r="A103" s="222"/>
      <c r="B103" s="222"/>
      <c r="C103" s="222"/>
      <c r="D103" s="85"/>
      <c r="E103" s="85"/>
      <c r="F103" s="85"/>
      <c r="G103" s="85"/>
      <c r="H103" s="292"/>
      <c r="I103" s="85" t="s">
        <v>221</v>
      </c>
      <c r="J103" s="85"/>
    </row>
    <row r="104" spans="1:10" s="205" customFormat="1" ht="56.1" customHeight="1" x14ac:dyDescent="0.25">
      <c r="A104" s="583" t="s">
        <v>386</v>
      </c>
      <c r="B104" s="584"/>
      <c r="C104" s="584"/>
      <c r="D104" s="583" t="s">
        <v>387</v>
      </c>
      <c r="E104" s="584"/>
      <c r="F104" s="584"/>
      <c r="G104" s="584"/>
      <c r="H104" s="585"/>
      <c r="I104" s="592" t="s">
        <v>222</v>
      </c>
      <c r="J104" s="593"/>
    </row>
    <row r="105" spans="1:10" s="205" customFormat="1" ht="56.1" customHeight="1" x14ac:dyDescent="0.25">
      <c r="A105" s="583" t="s">
        <v>83</v>
      </c>
      <c r="B105" s="584"/>
      <c r="C105" s="585"/>
      <c r="D105" s="594" t="s">
        <v>399</v>
      </c>
      <c r="E105" s="583" t="s">
        <v>400</v>
      </c>
      <c r="F105" s="584"/>
      <c r="G105" s="585"/>
      <c r="H105" s="596" t="s">
        <v>403</v>
      </c>
      <c r="I105" s="597" t="s">
        <v>404</v>
      </c>
      <c r="J105" s="599" t="s">
        <v>405</v>
      </c>
    </row>
    <row r="106" spans="1:10" s="205" customFormat="1" ht="90.75" customHeight="1" x14ac:dyDescent="0.25">
      <c r="A106" s="223" t="s">
        <v>191</v>
      </c>
      <c r="B106" s="223" t="s">
        <v>190</v>
      </c>
      <c r="C106" s="200" t="s">
        <v>132</v>
      </c>
      <c r="D106" s="595"/>
      <c r="E106" s="223" t="s">
        <v>401</v>
      </c>
      <c r="F106" s="223" t="s">
        <v>402</v>
      </c>
      <c r="G106" s="223" t="s">
        <v>200</v>
      </c>
      <c r="H106" s="596"/>
      <c r="I106" s="598"/>
      <c r="J106" s="600"/>
    </row>
    <row r="107" spans="1:10" s="205" customFormat="1" ht="69.75" customHeight="1" x14ac:dyDescent="0.25">
      <c r="A107" s="225">
        <v>6</v>
      </c>
      <c r="B107" s="225" t="s">
        <v>501</v>
      </c>
      <c r="C107" s="33"/>
      <c r="D107" s="202">
        <v>18000</v>
      </c>
      <c r="E107" s="202">
        <v>340</v>
      </c>
      <c r="F107" s="202">
        <f>D107-E107+7000</f>
        <v>24660</v>
      </c>
      <c r="G107" s="218">
        <f t="shared" ref="G107:G108" si="40">E107+F107</f>
        <v>25000</v>
      </c>
      <c r="H107" s="203">
        <f t="shared" ref="H107:H109" si="41">IFERROR(G107/D107*100-100,0)</f>
        <v>38.888888888888886</v>
      </c>
      <c r="I107" s="290"/>
      <c r="J107" s="219">
        <f t="shared" ref="J107" si="42">IFERROR(I107/G107*100,)</f>
        <v>0</v>
      </c>
    </row>
    <row r="108" spans="1:10" s="205" customFormat="1" ht="56.1" customHeight="1" x14ac:dyDescent="0.25">
      <c r="A108" s="225">
        <v>1</v>
      </c>
      <c r="B108" s="225" t="s">
        <v>502</v>
      </c>
      <c r="C108" s="33"/>
      <c r="D108" s="202">
        <v>0</v>
      </c>
      <c r="E108" s="202">
        <v>0</v>
      </c>
      <c r="F108" s="202">
        <v>0</v>
      </c>
      <c r="G108" s="218">
        <f t="shared" si="40"/>
        <v>0</v>
      </c>
      <c r="H108" s="203">
        <f t="shared" si="41"/>
        <v>0</v>
      </c>
      <c r="I108" s="290"/>
      <c r="J108" s="219"/>
    </row>
    <row r="109" spans="1:10" s="205" customFormat="1" ht="56.1" customHeight="1" x14ac:dyDescent="0.25">
      <c r="A109" s="582" t="s">
        <v>0</v>
      </c>
      <c r="B109" s="582"/>
      <c r="C109" s="582"/>
      <c r="D109" s="190">
        <f>SUM(D107:D108)</f>
        <v>18000</v>
      </c>
      <c r="E109" s="190">
        <f>SUM(E107:E108)</f>
        <v>340</v>
      </c>
      <c r="F109" s="190">
        <f>SUM(F107:F108)</f>
        <v>24660</v>
      </c>
      <c r="G109" s="190">
        <f>SUM(G107:G108)</f>
        <v>25000</v>
      </c>
      <c r="H109" s="190">
        <f t="shared" si="41"/>
        <v>38.888888888888886</v>
      </c>
      <c r="I109" s="291">
        <f>SUM(I107:I108)</f>
        <v>0</v>
      </c>
      <c r="J109" s="190">
        <f t="shared" ref="J109" si="43">IFERROR(I109/G109*100,)</f>
        <v>0</v>
      </c>
    </row>
    <row r="110" spans="1:10" s="205" customFormat="1" ht="56.1" customHeight="1" x14ac:dyDescent="0.25">
      <c r="A110" s="227"/>
      <c r="B110" s="227"/>
      <c r="C110" s="227"/>
      <c r="D110" s="228"/>
      <c r="E110" s="228"/>
      <c r="F110" s="228"/>
      <c r="G110" s="228"/>
      <c r="H110" s="293"/>
      <c r="I110" s="228"/>
      <c r="J110" s="228"/>
    </row>
    <row r="111" spans="1:10" s="205" customFormat="1" ht="56.1" customHeight="1" x14ac:dyDescent="0.25">
      <c r="A111" s="586" t="s">
        <v>77</v>
      </c>
      <c r="B111" s="587"/>
      <c r="C111" s="588" t="s">
        <v>530</v>
      </c>
      <c r="D111" s="588"/>
      <c r="E111" s="588"/>
      <c r="F111" s="588"/>
      <c r="G111" s="588"/>
      <c r="H111" s="588"/>
      <c r="I111" s="588"/>
      <c r="J111" s="589"/>
    </row>
    <row r="112" spans="1:10" s="205" customFormat="1" ht="56.1" customHeight="1" x14ac:dyDescent="0.25">
      <c r="A112" s="587" t="s">
        <v>41</v>
      </c>
      <c r="B112" s="587"/>
      <c r="C112" s="590" t="str">
        <f>'Quadro Geral'!G19</f>
        <v>Promover o exercício ético e qualificado da profissão</v>
      </c>
      <c r="D112" s="590"/>
      <c r="E112" s="590"/>
      <c r="F112" s="590"/>
      <c r="G112" s="590"/>
      <c r="H112" s="590"/>
      <c r="I112" s="590"/>
      <c r="J112" s="591"/>
    </row>
    <row r="113" spans="1:10" s="205" customFormat="1" ht="56.1" customHeight="1" x14ac:dyDescent="0.25">
      <c r="A113" s="222"/>
      <c r="B113" s="222"/>
      <c r="C113" s="222"/>
      <c r="D113" s="85"/>
      <c r="E113" s="85"/>
      <c r="F113" s="85"/>
      <c r="G113" s="85"/>
      <c r="H113" s="292"/>
      <c r="I113" s="85" t="s">
        <v>221</v>
      </c>
      <c r="J113" s="85"/>
    </row>
    <row r="114" spans="1:10" s="205" customFormat="1" ht="56.1" customHeight="1" x14ac:dyDescent="0.25">
      <c r="A114" s="583" t="s">
        <v>386</v>
      </c>
      <c r="B114" s="584"/>
      <c r="C114" s="584"/>
      <c r="D114" s="583" t="s">
        <v>387</v>
      </c>
      <c r="E114" s="584"/>
      <c r="F114" s="584"/>
      <c r="G114" s="584"/>
      <c r="H114" s="585"/>
      <c r="I114" s="592" t="s">
        <v>222</v>
      </c>
      <c r="J114" s="593"/>
    </row>
    <row r="115" spans="1:10" s="205" customFormat="1" ht="56.1" customHeight="1" x14ac:dyDescent="0.25">
      <c r="A115" s="583" t="s">
        <v>83</v>
      </c>
      <c r="B115" s="584"/>
      <c r="C115" s="585"/>
      <c r="D115" s="594" t="s">
        <v>399</v>
      </c>
      <c r="E115" s="583" t="s">
        <v>400</v>
      </c>
      <c r="F115" s="584"/>
      <c r="G115" s="585"/>
      <c r="H115" s="596" t="s">
        <v>403</v>
      </c>
      <c r="I115" s="597" t="s">
        <v>404</v>
      </c>
      <c r="J115" s="599" t="s">
        <v>405</v>
      </c>
    </row>
    <row r="116" spans="1:10" s="205" customFormat="1" ht="56.1" customHeight="1" x14ac:dyDescent="0.25">
      <c r="A116" s="223" t="s">
        <v>191</v>
      </c>
      <c r="B116" s="223" t="s">
        <v>190</v>
      </c>
      <c r="C116" s="200" t="s">
        <v>132</v>
      </c>
      <c r="D116" s="595"/>
      <c r="E116" s="223" t="s">
        <v>401</v>
      </c>
      <c r="F116" s="223" t="s">
        <v>402</v>
      </c>
      <c r="G116" s="223" t="s">
        <v>200</v>
      </c>
      <c r="H116" s="596"/>
      <c r="I116" s="598"/>
      <c r="J116" s="600"/>
    </row>
    <row r="117" spans="1:10" s="205" customFormat="1" ht="56.1" customHeight="1" x14ac:dyDescent="0.25">
      <c r="A117" s="225">
        <v>1</v>
      </c>
      <c r="B117" s="225" t="s">
        <v>503</v>
      </c>
      <c r="C117" s="33"/>
      <c r="D117" s="202">
        <v>7200</v>
      </c>
      <c r="E117" s="202">
        <v>0</v>
      </c>
      <c r="F117" s="202">
        <v>3600</v>
      </c>
      <c r="G117" s="218">
        <f t="shared" ref="G117:G118" si="44">E117+F117</f>
        <v>3600</v>
      </c>
      <c r="H117" s="203">
        <f t="shared" ref="H117:H119" si="45">IFERROR(G117/D117*100-100,0)</f>
        <v>-50</v>
      </c>
      <c r="I117" s="290"/>
      <c r="J117" s="219">
        <f t="shared" ref="J117" si="46">IFERROR(I117/G117*100,)</f>
        <v>0</v>
      </c>
    </row>
    <row r="118" spans="1:10" s="205" customFormat="1" ht="56.1" customHeight="1" x14ac:dyDescent="0.25">
      <c r="A118" s="225">
        <v>1</v>
      </c>
      <c r="B118" s="225" t="s">
        <v>504</v>
      </c>
      <c r="C118" s="33"/>
      <c r="D118" s="202">
        <v>6300</v>
      </c>
      <c r="E118" s="202">
        <v>0</v>
      </c>
      <c r="F118" s="202">
        <v>3000</v>
      </c>
      <c r="G118" s="218">
        <f t="shared" si="44"/>
        <v>3000</v>
      </c>
      <c r="H118" s="203">
        <f t="shared" si="45"/>
        <v>-52.380952380952387</v>
      </c>
      <c r="I118" s="290"/>
      <c r="J118" s="219"/>
    </row>
    <row r="119" spans="1:10" s="205" customFormat="1" ht="56.1" customHeight="1" x14ac:dyDescent="0.25">
      <c r="A119" s="582" t="s">
        <v>0</v>
      </c>
      <c r="B119" s="582"/>
      <c r="C119" s="582"/>
      <c r="D119" s="190">
        <f>SUM(D117:D118)</f>
        <v>13500</v>
      </c>
      <c r="E119" s="190">
        <f>SUM(E117:E118)</f>
        <v>0</v>
      </c>
      <c r="F119" s="190">
        <f>SUM(F117:F118)</f>
        <v>6600</v>
      </c>
      <c r="G119" s="190">
        <f>SUM(G117:G118)</f>
        <v>6600</v>
      </c>
      <c r="H119" s="190">
        <f t="shared" si="45"/>
        <v>-51.111111111111114</v>
      </c>
      <c r="I119" s="291">
        <f>SUM(I117:I118)</f>
        <v>0</v>
      </c>
      <c r="J119" s="190">
        <f t="shared" ref="J119" si="47">IFERROR(I119/G119*100,)</f>
        <v>0</v>
      </c>
    </row>
    <row r="120" spans="1:10" s="205" customFormat="1" ht="56.1" customHeight="1" x14ac:dyDescent="0.25">
      <c r="A120" s="227"/>
      <c r="B120" s="227"/>
      <c r="C120" s="227"/>
      <c r="D120" s="228"/>
      <c r="E120" s="228"/>
      <c r="F120" s="228"/>
      <c r="G120" s="228"/>
      <c r="H120" s="293"/>
      <c r="I120" s="228"/>
      <c r="J120" s="228"/>
    </row>
    <row r="121" spans="1:10" s="205" customFormat="1" ht="56.1" customHeight="1" x14ac:dyDescent="0.25">
      <c r="A121" s="586" t="s">
        <v>77</v>
      </c>
      <c r="B121" s="587"/>
      <c r="C121" s="588" t="s">
        <v>531</v>
      </c>
      <c r="D121" s="588"/>
      <c r="E121" s="588"/>
      <c r="F121" s="588"/>
      <c r="G121" s="588"/>
      <c r="H121" s="588"/>
      <c r="I121" s="588"/>
      <c r="J121" s="589"/>
    </row>
    <row r="122" spans="1:10" s="205" customFormat="1" ht="56.1" customHeight="1" x14ac:dyDescent="0.25">
      <c r="A122" s="587" t="s">
        <v>41</v>
      </c>
      <c r="B122" s="587"/>
      <c r="C122" s="590" t="str">
        <f>'Quadro Geral'!G20</f>
        <v>Aprimorar e inovar os processos e as ações</v>
      </c>
      <c r="D122" s="590"/>
      <c r="E122" s="590"/>
      <c r="F122" s="590"/>
      <c r="G122" s="590"/>
      <c r="H122" s="590"/>
      <c r="I122" s="590"/>
      <c r="J122" s="591"/>
    </row>
    <row r="123" spans="1:10" s="205" customFormat="1" ht="56.1" customHeight="1" x14ac:dyDescent="0.25">
      <c r="A123" s="222"/>
      <c r="B123" s="222"/>
      <c r="C123" s="222"/>
      <c r="D123" s="85"/>
      <c r="E123" s="85"/>
      <c r="F123" s="85"/>
      <c r="G123" s="85"/>
      <c r="H123" s="292"/>
      <c r="I123" s="85" t="s">
        <v>221</v>
      </c>
      <c r="J123" s="85"/>
    </row>
    <row r="124" spans="1:10" s="205" customFormat="1" ht="56.1" customHeight="1" x14ac:dyDescent="0.25">
      <c r="A124" s="583" t="s">
        <v>386</v>
      </c>
      <c r="B124" s="584"/>
      <c r="C124" s="584"/>
      <c r="D124" s="583" t="s">
        <v>387</v>
      </c>
      <c r="E124" s="584"/>
      <c r="F124" s="584"/>
      <c r="G124" s="584"/>
      <c r="H124" s="585"/>
      <c r="I124" s="592" t="s">
        <v>222</v>
      </c>
      <c r="J124" s="593"/>
    </row>
    <row r="125" spans="1:10" s="205" customFormat="1" ht="56.1" customHeight="1" x14ac:dyDescent="0.25">
      <c r="A125" s="583" t="s">
        <v>83</v>
      </c>
      <c r="B125" s="584"/>
      <c r="C125" s="585"/>
      <c r="D125" s="594" t="s">
        <v>399</v>
      </c>
      <c r="E125" s="583" t="s">
        <v>400</v>
      </c>
      <c r="F125" s="584"/>
      <c r="G125" s="585"/>
      <c r="H125" s="596" t="s">
        <v>403</v>
      </c>
      <c r="I125" s="597" t="s">
        <v>404</v>
      </c>
      <c r="J125" s="599" t="s">
        <v>405</v>
      </c>
    </row>
    <row r="126" spans="1:10" s="205" customFormat="1" ht="56.1" customHeight="1" x14ac:dyDescent="0.25">
      <c r="A126" s="223" t="s">
        <v>191</v>
      </c>
      <c r="B126" s="223" t="s">
        <v>190</v>
      </c>
      <c r="C126" s="200" t="s">
        <v>132</v>
      </c>
      <c r="D126" s="595"/>
      <c r="E126" s="223" t="s">
        <v>401</v>
      </c>
      <c r="F126" s="223" t="s">
        <v>402</v>
      </c>
      <c r="G126" s="223" t="s">
        <v>200</v>
      </c>
      <c r="H126" s="596"/>
      <c r="I126" s="598"/>
      <c r="J126" s="600"/>
    </row>
    <row r="127" spans="1:10" s="205" customFormat="1" ht="92.25" customHeight="1" x14ac:dyDescent="0.25">
      <c r="A127" s="225">
        <v>1</v>
      </c>
      <c r="B127" s="225" t="s">
        <v>505</v>
      </c>
      <c r="C127" s="33"/>
      <c r="D127" s="202">
        <v>4800</v>
      </c>
      <c r="E127" s="202">
        <v>0</v>
      </c>
      <c r="F127" s="202">
        <v>2400</v>
      </c>
      <c r="G127" s="218">
        <f t="shared" ref="G127:G130" si="48">E127+F127</f>
        <v>2400</v>
      </c>
      <c r="H127" s="203">
        <f t="shared" ref="H127:H131" si="49">IFERROR(G127/D127*100-100,0)</f>
        <v>-50</v>
      </c>
      <c r="I127" s="290"/>
      <c r="J127" s="219">
        <f t="shared" ref="J127" si="50">IFERROR(I127/G127*100,)</f>
        <v>0</v>
      </c>
    </row>
    <row r="128" spans="1:10" s="205" customFormat="1" ht="90" customHeight="1" x14ac:dyDescent="0.25">
      <c r="A128" s="225">
        <v>1</v>
      </c>
      <c r="B128" s="225" t="s">
        <v>506</v>
      </c>
      <c r="C128" s="33"/>
      <c r="D128" s="202">
        <v>4200</v>
      </c>
      <c r="E128" s="202">
        <v>0</v>
      </c>
      <c r="F128" s="202">
        <v>2100</v>
      </c>
      <c r="G128" s="218">
        <f t="shared" si="48"/>
        <v>2100</v>
      </c>
      <c r="H128" s="203">
        <f t="shared" si="49"/>
        <v>-50</v>
      </c>
      <c r="I128" s="290"/>
      <c r="J128" s="219"/>
    </row>
    <row r="129" spans="1:10" s="205" customFormat="1" ht="56.1" customHeight="1" x14ac:dyDescent="0.25">
      <c r="A129" s="225">
        <v>4</v>
      </c>
      <c r="B129" s="225" t="s">
        <v>507</v>
      </c>
      <c r="C129" s="33"/>
      <c r="D129" s="202">
        <v>9600</v>
      </c>
      <c r="E129" s="202">
        <v>0</v>
      </c>
      <c r="F129" s="202">
        <v>4800</v>
      </c>
      <c r="G129" s="218">
        <f t="shared" si="48"/>
        <v>4800</v>
      </c>
      <c r="H129" s="203">
        <f t="shared" si="49"/>
        <v>-50</v>
      </c>
      <c r="I129" s="290"/>
      <c r="J129" s="219"/>
    </row>
    <row r="130" spans="1:10" s="205" customFormat="1" ht="56.1" customHeight="1" x14ac:dyDescent="0.25">
      <c r="A130" s="225">
        <v>4</v>
      </c>
      <c r="B130" s="225" t="s">
        <v>508</v>
      </c>
      <c r="C130" s="33"/>
      <c r="D130" s="202">
        <v>8500</v>
      </c>
      <c r="E130" s="202">
        <v>0</v>
      </c>
      <c r="F130" s="202">
        <v>4250</v>
      </c>
      <c r="G130" s="218">
        <f t="shared" si="48"/>
        <v>4250</v>
      </c>
      <c r="H130" s="203">
        <f t="shared" si="49"/>
        <v>-50</v>
      </c>
      <c r="I130" s="290"/>
      <c r="J130" s="219"/>
    </row>
    <row r="131" spans="1:10" s="205" customFormat="1" ht="56.1" customHeight="1" x14ac:dyDescent="0.25">
      <c r="A131" s="582" t="s">
        <v>0</v>
      </c>
      <c r="B131" s="582"/>
      <c r="C131" s="582"/>
      <c r="D131" s="190">
        <f>SUM(D127:D130)</f>
        <v>27100</v>
      </c>
      <c r="E131" s="190">
        <f>SUM(E127:E130)</f>
        <v>0</v>
      </c>
      <c r="F131" s="190">
        <f>SUM(F127:F130)</f>
        <v>13550</v>
      </c>
      <c r="G131" s="190">
        <f>SUM(G127:G130)</f>
        <v>13550</v>
      </c>
      <c r="H131" s="190">
        <f t="shared" si="49"/>
        <v>-50</v>
      </c>
      <c r="I131" s="291">
        <f>SUM(I127:I130)</f>
        <v>0</v>
      </c>
      <c r="J131" s="190">
        <f t="shared" ref="J131" si="51">IFERROR(I131/G131*100,)</f>
        <v>0</v>
      </c>
    </row>
    <row r="132" spans="1:10" s="205" customFormat="1" ht="56.1" customHeight="1" x14ac:dyDescent="0.25">
      <c r="A132" s="227"/>
      <c r="B132" s="227"/>
      <c r="C132" s="227"/>
      <c r="D132" s="228"/>
      <c r="E132" s="228"/>
      <c r="F132" s="228"/>
      <c r="G132" s="228"/>
      <c r="H132" s="293"/>
      <c r="I132" s="228"/>
      <c r="J132" s="228"/>
    </row>
    <row r="133" spans="1:10" s="205" customFormat="1" ht="56.1" customHeight="1" x14ac:dyDescent="0.25">
      <c r="A133" s="586" t="s">
        <v>77</v>
      </c>
      <c r="B133" s="587"/>
      <c r="C133" s="588" t="s">
        <v>532</v>
      </c>
      <c r="D133" s="588"/>
      <c r="E133" s="588"/>
      <c r="F133" s="588"/>
      <c r="G133" s="588"/>
      <c r="H133" s="588"/>
      <c r="I133" s="588"/>
      <c r="J133" s="589"/>
    </row>
    <row r="134" spans="1:10" s="205" customFormat="1" ht="56.1" customHeight="1" x14ac:dyDescent="0.25">
      <c r="A134" s="587" t="s">
        <v>41</v>
      </c>
      <c r="B134" s="587"/>
      <c r="C134" s="590" t="str">
        <f>'Quadro Geral'!G21</f>
        <v>Estimular a produção da Arquitetura e Urbanismo como política de Estado</v>
      </c>
      <c r="D134" s="590"/>
      <c r="E134" s="590"/>
      <c r="F134" s="590"/>
      <c r="G134" s="590"/>
      <c r="H134" s="590"/>
      <c r="I134" s="590"/>
      <c r="J134" s="591"/>
    </row>
    <row r="135" spans="1:10" s="205" customFormat="1" ht="56.1" customHeight="1" x14ac:dyDescent="0.25">
      <c r="A135" s="222"/>
      <c r="B135" s="222"/>
      <c r="C135" s="222"/>
      <c r="D135" s="85"/>
      <c r="E135" s="85"/>
      <c r="F135" s="85"/>
      <c r="G135" s="85"/>
      <c r="H135" s="292"/>
      <c r="I135" s="85" t="s">
        <v>221</v>
      </c>
      <c r="J135" s="85"/>
    </row>
    <row r="136" spans="1:10" s="205" customFormat="1" ht="56.1" customHeight="1" x14ac:dyDescent="0.25">
      <c r="A136" s="583" t="s">
        <v>386</v>
      </c>
      <c r="B136" s="584"/>
      <c r="C136" s="584"/>
      <c r="D136" s="583" t="s">
        <v>387</v>
      </c>
      <c r="E136" s="584"/>
      <c r="F136" s="584"/>
      <c r="G136" s="584"/>
      <c r="H136" s="585"/>
      <c r="I136" s="592" t="s">
        <v>222</v>
      </c>
      <c r="J136" s="593"/>
    </row>
    <row r="137" spans="1:10" s="205" customFormat="1" ht="56.1" customHeight="1" x14ac:dyDescent="0.25">
      <c r="A137" s="583" t="s">
        <v>83</v>
      </c>
      <c r="B137" s="584"/>
      <c r="C137" s="585"/>
      <c r="D137" s="594" t="s">
        <v>399</v>
      </c>
      <c r="E137" s="583" t="s">
        <v>400</v>
      </c>
      <c r="F137" s="584"/>
      <c r="G137" s="585"/>
      <c r="H137" s="596" t="s">
        <v>403</v>
      </c>
      <c r="I137" s="597" t="s">
        <v>404</v>
      </c>
      <c r="J137" s="599" t="s">
        <v>405</v>
      </c>
    </row>
    <row r="138" spans="1:10" s="205" customFormat="1" ht="56.1" customHeight="1" x14ac:dyDescent="0.25">
      <c r="A138" s="223" t="s">
        <v>191</v>
      </c>
      <c r="B138" s="223" t="s">
        <v>190</v>
      </c>
      <c r="C138" s="200" t="s">
        <v>132</v>
      </c>
      <c r="D138" s="595"/>
      <c r="E138" s="223" t="s">
        <v>401</v>
      </c>
      <c r="F138" s="223" t="s">
        <v>402</v>
      </c>
      <c r="G138" s="223" t="s">
        <v>200</v>
      </c>
      <c r="H138" s="596"/>
      <c r="I138" s="598"/>
      <c r="J138" s="600"/>
    </row>
    <row r="139" spans="1:10" s="205" customFormat="1" ht="56.1" customHeight="1" x14ac:dyDescent="0.25">
      <c r="A139" s="225">
        <v>12</v>
      </c>
      <c r="B139" s="225" t="s">
        <v>495</v>
      </c>
      <c r="C139" s="33"/>
      <c r="D139" s="202">
        <v>7931.87</v>
      </c>
      <c r="E139" s="202">
        <v>484</v>
      </c>
      <c r="F139" s="202">
        <f>D139-E139</f>
        <v>7447.87</v>
      </c>
      <c r="G139" s="218">
        <f t="shared" ref="G139:G145" si="52">E139+F139</f>
        <v>7931.87</v>
      </c>
      <c r="H139" s="203">
        <f t="shared" ref="H139:H146" si="53">IFERROR(G139/D139*100-100,0)</f>
        <v>0</v>
      </c>
      <c r="I139" s="290"/>
      <c r="J139" s="219">
        <f t="shared" ref="J139" si="54">IFERROR(I139/G139*100,)</f>
        <v>0</v>
      </c>
    </row>
    <row r="140" spans="1:10" s="205" customFormat="1" ht="56.1" customHeight="1" x14ac:dyDescent="0.25">
      <c r="A140" s="225">
        <v>4</v>
      </c>
      <c r="B140" s="225" t="s">
        <v>509</v>
      </c>
      <c r="C140" s="33"/>
      <c r="D140" s="202">
        <v>8000</v>
      </c>
      <c r="E140" s="202">
        <v>2100</v>
      </c>
      <c r="F140" s="202">
        <v>3600</v>
      </c>
      <c r="G140" s="218">
        <f t="shared" si="52"/>
        <v>5700</v>
      </c>
      <c r="H140" s="203">
        <f t="shared" si="53"/>
        <v>-28.75</v>
      </c>
      <c r="I140" s="290"/>
      <c r="J140" s="219"/>
    </row>
    <row r="141" spans="1:10" s="205" customFormat="1" ht="56.1" customHeight="1" x14ac:dyDescent="0.25">
      <c r="A141" s="225">
        <v>4</v>
      </c>
      <c r="B141" s="225" t="s">
        <v>510</v>
      </c>
      <c r="C141" s="33"/>
      <c r="D141" s="202">
        <v>5240</v>
      </c>
      <c r="E141" s="202">
        <v>0</v>
      </c>
      <c r="F141" s="202">
        <f>D141-E141+2300</f>
        <v>7540</v>
      </c>
      <c r="G141" s="218">
        <f t="shared" si="52"/>
        <v>7540</v>
      </c>
      <c r="H141" s="203">
        <f t="shared" si="53"/>
        <v>43.893129770992346</v>
      </c>
      <c r="I141" s="290"/>
      <c r="J141" s="219"/>
    </row>
    <row r="142" spans="1:10" s="205" customFormat="1" ht="56.1" customHeight="1" x14ac:dyDescent="0.25">
      <c r="A142" s="225">
        <v>12</v>
      </c>
      <c r="B142" s="225" t="s">
        <v>511</v>
      </c>
      <c r="C142" s="33"/>
      <c r="D142" s="202">
        <v>28000</v>
      </c>
      <c r="E142" s="202">
        <v>8400</v>
      </c>
      <c r="F142" s="202">
        <f>32000-E142</f>
        <v>23600</v>
      </c>
      <c r="G142" s="218">
        <f t="shared" si="52"/>
        <v>32000</v>
      </c>
      <c r="H142" s="203">
        <f t="shared" si="53"/>
        <v>14.285714285714278</v>
      </c>
      <c r="I142" s="290"/>
      <c r="J142" s="219"/>
    </row>
    <row r="143" spans="1:10" s="205" customFormat="1" ht="56.1" customHeight="1" x14ac:dyDescent="0.25">
      <c r="A143" s="225">
        <v>12</v>
      </c>
      <c r="B143" s="225" t="s">
        <v>512</v>
      </c>
      <c r="C143" s="33"/>
      <c r="D143" s="202">
        <v>14900</v>
      </c>
      <c r="E143" s="202">
        <v>4531.49</v>
      </c>
      <c r="F143" s="202">
        <f>18900-E143</f>
        <v>14368.51</v>
      </c>
      <c r="G143" s="218">
        <f t="shared" si="52"/>
        <v>18900</v>
      </c>
      <c r="H143" s="203">
        <f t="shared" si="53"/>
        <v>26.845637583892625</v>
      </c>
      <c r="I143" s="290"/>
      <c r="J143" s="219"/>
    </row>
    <row r="144" spans="1:10" s="205" customFormat="1" ht="56.1" customHeight="1" x14ac:dyDescent="0.25">
      <c r="A144" s="229">
        <v>12</v>
      </c>
      <c r="B144" s="225" t="s">
        <v>513</v>
      </c>
      <c r="C144" s="33"/>
      <c r="D144" s="202">
        <v>7200</v>
      </c>
      <c r="E144" s="202">
        <v>200</v>
      </c>
      <c r="F144" s="202">
        <f>3800-E144</f>
        <v>3600</v>
      </c>
      <c r="G144" s="218">
        <f t="shared" si="52"/>
        <v>3800</v>
      </c>
      <c r="H144" s="203">
        <f t="shared" si="53"/>
        <v>-47.222222222222221</v>
      </c>
      <c r="I144" s="290"/>
      <c r="J144" s="219"/>
    </row>
    <row r="145" spans="1:10" s="205" customFormat="1" ht="56.1" customHeight="1" x14ac:dyDescent="0.25">
      <c r="A145" s="225">
        <v>1</v>
      </c>
      <c r="B145" s="225" t="s">
        <v>542</v>
      </c>
      <c r="C145" s="33"/>
      <c r="D145" s="202">
        <v>0</v>
      </c>
      <c r="E145" s="202">
        <v>0</v>
      </c>
      <c r="F145" s="202">
        <v>3030</v>
      </c>
      <c r="G145" s="218">
        <f t="shared" si="52"/>
        <v>3030</v>
      </c>
      <c r="H145" s="203">
        <f t="shared" si="53"/>
        <v>0</v>
      </c>
      <c r="I145" s="290"/>
      <c r="J145" s="219"/>
    </row>
    <row r="146" spans="1:10" s="205" customFormat="1" ht="56.1" customHeight="1" x14ac:dyDescent="0.25">
      <c r="A146" s="582" t="s">
        <v>0</v>
      </c>
      <c r="B146" s="582"/>
      <c r="C146" s="582"/>
      <c r="D146" s="190">
        <f>SUM(D139:D145)</f>
        <v>71271.87</v>
      </c>
      <c r="E146" s="190">
        <f>SUM(E139:E145)</f>
        <v>15715.49</v>
      </c>
      <c r="F146" s="190">
        <f>SUM(F139:F145)</f>
        <v>63186.38</v>
      </c>
      <c r="G146" s="190">
        <f>SUM(G139:G145)</f>
        <v>78901.87</v>
      </c>
      <c r="H146" s="190">
        <f t="shared" si="53"/>
        <v>10.705485909097106</v>
      </c>
      <c r="I146" s="291">
        <f>SUM(I139:I145)</f>
        <v>0</v>
      </c>
      <c r="J146" s="190">
        <f t="shared" ref="J146" si="55">IFERROR(I146/G146*100,)</f>
        <v>0</v>
      </c>
    </row>
    <row r="147" spans="1:10" s="205" customFormat="1" ht="56.1" customHeight="1" x14ac:dyDescent="0.25">
      <c r="A147" s="227"/>
      <c r="B147" s="227"/>
      <c r="C147" s="227"/>
      <c r="D147" s="228"/>
      <c r="E147" s="228"/>
      <c r="F147" s="228"/>
      <c r="G147" s="228"/>
      <c r="H147" s="293"/>
      <c r="I147" s="228"/>
      <c r="J147" s="228"/>
    </row>
    <row r="148" spans="1:10" s="205" customFormat="1" ht="56.1" customHeight="1" x14ac:dyDescent="0.25">
      <c r="A148" s="586" t="s">
        <v>77</v>
      </c>
      <c r="B148" s="587"/>
      <c r="C148" s="588" t="s">
        <v>533</v>
      </c>
      <c r="D148" s="588"/>
      <c r="E148" s="588"/>
      <c r="F148" s="588"/>
      <c r="G148" s="588"/>
      <c r="H148" s="588"/>
      <c r="I148" s="588"/>
      <c r="J148" s="589"/>
    </row>
    <row r="149" spans="1:10" s="205" customFormat="1" ht="56.1" customHeight="1" x14ac:dyDescent="0.25">
      <c r="A149" s="587" t="s">
        <v>41</v>
      </c>
      <c r="B149" s="587"/>
      <c r="C149" s="590" t="str">
        <f>'Quadro Geral'!G22</f>
        <v>Fomentar o acesso da sociedade à Arquitetura e Urbanismo</v>
      </c>
      <c r="D149" s="590"/>
      <c r="E149" s="590"/>
      <c r="F149" s="590"/>
      <c r="G149" s="590"/>
      <c r="H149" s="590"/>
      <c r="I149" s="590"/>
      <c r="J149" s="591"/>
    </row>
    <row r="150" spans="1:10" s="205" customFormat="1" ht="56.1" customHeight="1" x14ac:dyDescent="0.25">
      <c r="A150" s="222"/>
      <c r="B150" s="222"/>
      <c r="C150" s="222"/>
      <c r="D150" s="85"/>
      <c r="E150" s="85"/>
      <c r="F150" s="85"/>
      <c r="G150" s="85"/>
      <c r="H150" s="292"/>
      <c r="I150" s="85" t="s">
        <v>221</v>
      </c>
      <c r="J150" s="85"/>
    </row>
    <row r="151" spans="1:10" s="205" customFormat="1" ht="56.1" customHeight="1" x14ac:dyDescent="0.25">
      <c r="A151" s="583" t="s">
        <v>386</v>
      </c>
      <c r="B151" s="584"/>
      <c r="C151" s="584"/>
      <c r="D151" s="583" t="s">
        <v>387</v>
      </c>
      <c r="E151" s="584"/>
      <c r="F151" s="584"/>
      <c r="G151" s="584"/>
      <c r="H151" s="585"/>
      <c r="I151" s="592" t="s">
        <v>222</v>
      </c>
      <c r="J151" s="593"/>
    </row>
    <row r="152" spans="1:10" s="205" customFormat="1" ht="56.1" customHeight="1" x14ac:dyDescent="0.25">
      <c r="A152" s="583" t="s">
        <v>83</v>
      </c>
      <c r="B152" s="584"/>
      <c r="C152" s="585"/>
      <c r="D152" s="594" t="s">
        <v>399</v>
      </c>
      <c r="E152" s="583" t="s">
        <v>400</v>
      </c>
      <c r="F152" s="584"/>
      <c r="G152" s="585"/>
      <c r="H152" s="596" t="s">
        <v>403</v>
      </c>
      <c r="I152" s="597" t="s">
        <v>404</v>
      </c>
      <c r="J152" s="599" t="s">
        <v>405</v>
      </c>
    </row>
    <row r="153" spans="1:10" s="205" customFormat="1" ht="56.1" customHeight="1" x14ac:dyDescent="0.25">
      <c r="A153" s="223" t="s">
        <v>191</v>
      </c>
      <c r="B153" s="223" t="s">
        <v>190</v>
      </c>
      <c r="C153" s="200" t="s">
        <v>132</v>
      </c>
      <c r="D153" s="595"/>
      <c r="E153" s="223" t="s">
        <v>401</v>
      </c>
      <c r="F153" s="223" t="s">
        <v>402</v>
      </c>
      <c r="G153" s="223" t="s">
        <v>200</v>
      </c>
      <c r="H153" s="596"/>
      <c r="I153" s="598"/>
      <c r="J153" s="600"/>
    </row>
    <row r="154" spans="1:10" s="205" customFormat="1" ht="56.1" customHeight="1" x14ac:dyDescent="0.25">
      <c r="A154" s="225">
        <v>1</v>
      </c>
      <c r="B154" s="33" t="s">
        <v>514</v>
      </c>
      <c r="C154" s="33"/>
      <c r="D154" s="202">
        <v>2800</v>
      </c>
      <c r="E154" s="202">
        <v>0</v>
      </c>
      <c r="F154" s="202">
        <v>2800</v>
      </c>
      <c r="G154" s="218">
        <f t="shared" ref="G154:G160" si="56">E154+F154</f>
        <v>2800</v>
      </c>
      <c r="H154" s="203">
        <f t="shared" ref="H154:H161" si="57">IFERROR(G154/D154*100-100,0)</f>
        <v>0</v>
      </c>
      <c r="I154" s="290"/>
      <c r="J154" s="219">
        <f t="shared" ref="J154" si="58">IFERROR(I154/G154*100,)</f>
        <v>0</v>
      </c>
    </row>
    <row r="155" spans="1:10" s="205" customFormat="1" ht="56.1" customHeight="1" x14ac:dyDescent="0.25">
      <c r="A155" s="225">
        <v>1</v>
      </c>
      <c r="B155" s="33" t="s">
        <v>515</v>
      </c>
      <c r="C155" s="33"/>
      <c r="D155" s="202">
        <v>2500</v>
      </c>
      <c r="E155" s="202">
        <v>0</v>
      </c>
      <c r="F155" s="202">
        <v>2500</v>
      </c>
      <c r="G155" s="218">
        <f t="shared" si="56"/>
        <v>2500</v>
      </c>
      <c r="H155" s="203">
        <f t="shared" si="57"/>
        <v>0</v>
      </c>
      <c r="I155" s="290"/>
      <c r="J155" s="219"/>
    </row>
    <row r="156" spans="1:10" s="205" customFormat="1" ht="56.1" customHeight="1" x14ac:dyDescent="0.25">
      <c r="A156" s="225">
        <v>1</v>
      </c>
      <c r="B156" s="225" t="s">
        <v>516</v>
      </c>
      <c r="C156" s="33"/>
      <c r="D156" s="202">
        <v>2800</v>
      </c>
      <c r="E156" s="202">
        <v>0</v>
      </c>
      <c r="F156" s="202">
        <v>2800</v>
      </c>
      <c r="G156" s="218">
        <f t="shared" si="56"/>
        <v>2800</v>
      </c>
      <c r="H156" s="203">
        <f t="shared" si="57"/>
        <v>0</v>
      </c>
      <c r="I156" s="290"/>
      <c r="J156" s="219"/>
    </row>
    <row r="157" spans="1:10" s="205" customFormat="1" ht="56.1" customHeight="1" x14ac:dyDescent="0.25">
      <c r="A157" s="225">
        <v>1</v>
      </c>
      <c r="B157" s="33" t="s">
        <v>517</v>
      </c>
      <c r="C157" s="33"/>
      <c r="D157" s="202">
        <v>2500</v>
      </c>
      <c r="E157" s="202">
        <v>0</v>
      </c>
      <c r="F157" s="202">
        <v>2500</v>
      </c>
      <c r="G157" s="218">
        <f t="shared" si="56"/>
        <v>2500</v>
      </c>
      <c r="H157" s="203">
        <f t="shared" si="57"/>
        <v>0</v>
      </c>
      <c r="I157" s="290"/>
      <c r="J157" s="219"/>
    </row>
    <row r="158" spans="1:10" s="205" customFormat="1" ht="56.1" customHeight="1" x14ac:dyDescent="0.25">
      <c r="A158" s="225">
        <v>1</v>
      </c>
      <c r="B158" s="225" t="s">
        <v>518</v>
      </c>
      <c r="C158" s="33"/>
      <c r="D158" s="202">
        <v>20000</v>
      </c>
      <c r="E158" s="202">
        <v>0</v>
      </c>
      <c r="F158" s="202">
        <v>37400</v>
      </c>
      <c r="G158" s="218">
        <f t="shared" si="56"/>
        <v>37400</v>
      </c>
      <c r="H158" s="203">
        <f t="shared" si="57"/>
        <v>87</v>
      </c>
      <c r="I158" s="290"/>
      <c r="J158" s="219"/>
    </row>
    <row r="159" spans="1:10" s="205" customFormat="1" ht="56.1" customHeight="1" x14ac:dyDescent="0.25">
      <c r="A159" s="225">
        <v>1</v>
      </c>
      <c r="B159" s="225" t="s">
        <v>519</v>
      </c>
      <c r="C159" s="33"/>
      <c r="D159" s="202">
        <v>2000</v>
      </c>
      <c r="E159" s="202">
        <v>0</v>
      </c>
      <c r="F159" s="202">
        <v>2000</v>
      </c>
      <c r="G159" s="218">
        <f t="shared" si="56"/>
        <v>2000</v>
      </c>
      <c r="H159" s="203">
        <f t="shared" si="57"/>
        <v>0</v>
      </c>
      <c r="I159" s="290"/>
      <c r="J159" s="219"/>
    </row>
    <row r="160" spans="1:10" s="205" customFormat="1" ht="56.1" customHeight="1" x14ac:dyDescent="0.25">
      <c r="A160" s="225">
        <v>1</v>
      </c>
      <c r="B160" s="225" t="s">
        <v>560</v>
      </c>
      <c r="C160" s="33"/>
      <c r="D160" s="202">
        <v>0</v>
      </c>
      <c r="E160" s="202">
        <v>0</v>
      </c>
      <c r="F160" s="202">
        <v>40000</v>
      </c>
      <c r="G160" s="218">
        <f t="shared" si="56"/>
        <v>40000</v>
      </c>
      <c r="H160" s="203">
        <f t="shared" si="57"/>
        <v>0</v>
      </c>
      <c r="I160" s="290"/>
      <c r="J160" s="219"/>
    </row>
    <row r="161" spans="1:10" s="205" customFormat="1" ht="56.1" customHeight="1" x14ac:dyDescent="0.25">
      <c r="A161" s="582" t="s">
        <v>0</v>
      </c>
      <c r="B161" s="582"/>
      <c r="C161" s="582"/>
      <c r="D161" s="190">
        <f>SUM(D154:D160)</f>
        <v>32600</v>
      </c>
      <c r="E161" s="190">
        <f>SUM(E154:E160)</f>
        <v>0</v>
      </c>
      <c r="F161" s="190">
        <f>SUM(F154:F160)</f>
        <v>90000</v>
      </c>
      <c r="G161" s="190">
        <f>SUM(G154:G160)</f>
        <v>90000</v>
      </c>
      <c r="H161" s="190">
        <f t="shared" si="57"/>
        <v>176.07361963190186</v>
      </c>
      <c r="I161" s="291">
        <f>SUM(I154:I160)</f>
        <v>0</v>
      </c>
      <c r="J161" s="190">
        <f t="shared" ref="J161" si="59">IFERROR(I161/G161*100,)</f>
        <v>0</v>
      </c>
    </row>
    <row r="162" spans="1:10" s="205" customFormat="1" ht="56.1" customHeight="1" x14ac:dyDescent="0.25">
      <c r="A162" s="227"/>
      <c r="B162" s="227"/>
      <c r="C162" s="227"/>
      <c r="D162" s="228"/>
      <c r="E162" s="228"/>
      <c r="F162" s="228"/>
      <c r="G162" s="228"/>
      <c r="H162" s="293"/>
      <c r="I162" s="228"/>
      <c r="J162" s="228"/>
    </row>
    <row r="163" spans="1:10" s="205" customFormat="1" ht="56.1" customHeight="1" x14ac:dyDescent="0.25">
      <c r="A163" s="586" t="s">
        <v>77</v>
      </c>
      <c r="B163" s="587"/>
      <c r="C163" s="588" t="s">
        <v>534</v>
      </c>
      <c r="D163" s="588"/>
      <c r="E163" s="588"/>
      <c r="F163" s="588"/>
      <c r="G163" s="588"/>
      <c r="H163" s="588"/>
      <c r="I163" s="588"/>
      <c r="J163" s="589"/>
    </row>
    <row r="164" spans="1:10" s="205" customFormat="1" ht="56.1" customHeight="1" x14ac:dyDescent="0.25">
      <c r="A164" s="587" t="s">
        <v>41</v>
      </c>
      <c r="B164" s="587"/>
      <c r="C164" s="590" t="str">
        <f>'Quadro Geral'!G9</f>
        <v>Assegurar a sustentabilidade financeira</v>
      </c>
      <c r="D164" s="590"/>
      <c r="E164" s="590"/>
      <c r="F164" s="590"/>
      <c r="G164" s="590"/>
      <c r="H164" s="590"/>
      <c r="I164" s="590"/>
      <c r="J164" s="591"/>
    </row>
    <row r="165" spans="1:10" s="205" customFormat="1" ht="56.1" customHeight="1" x14ac:dyDescent="0.25">
      <c r="A165" s="222"/>
      <c r="B165" s="222"/>
      <c r="C165" s="222"/>
      <c r="D165" s="85"/>
      <c r="E165" s="85"/>
      <c r="F165" s="85"/>
      <c r="G165" s="85"/>
      <c r="H165" s="292"/>
      <c r="I165" s="85" t="s">
        <v>221</v>
      </c>
      <c r="J165" s="85"/>
    </row>
    <row r="166" spans="1:10" s="205" customFormat="1" ht="56.1" customHeight="1" x14ac:dyDescent="0.25">
      <c r="A166" s="583" t="s">
        <v>386</v>
      </c>
      <c r="B166" s="584"/>
      <c r="C166" s="584"/>
      <c r="D166" s="583" t="s">
        <v>387</v>
      </c>
      <c r="E166" s="584"/>
      <c r="F166" s="584"/>
      <c r="G166" s="584"/>
      <c r="H166" s="585"/>
      <c r="I166" s="592" t="s">
        <v>222</v>
      </c>
      <c r="J166" s="593"/>
    </row>
    <row r="167" spans="1:10" s="205" customFormat="1" ht="56.1" customHeight="1" x14ac:dyDescent="0.25">
      <c r="A167" s="583" t="s">
        <v>83</v>
      </c>
      <c r="B167" s="584"/>
      <c r="C167" s="585"/>
      <c r="D167" s="594" t="s">
        <v>399</v>
      </c>
      <c r="E167" s="583" t="s">
        <v>400</v>
      </c>
      <c r="F167" s="584"/>
      <c r="G167" s="585"/>
      <c r="H167" s="596" t="s">
        <v>403</v>
      </c>
      <c r="I167" s="597" t="s">
        <v>404</v>
      </c>
      <c r="J167" s="599" t="s">
        <v>405</v>
      </c>
    </row>
    <row r="168" spans="1:10" s="205" customFormat="1" ht="56.1" customHeight="1" x14ac:dyDescent="0.25">
      <c r="A168" s="223" t="s">
        <v>191</v>
      </c>
      <c r="B168" s="223" t="s">
        <v>190</v>
      </c>
      <c r="C168" s="200" t="s">
        <v>132</v>
      </c>
      <c r="D168" s="595"/>
      <c r="E168" s="223" t="s">
        <v>401</v>
      </c>
      <c r="F168" s="223" t="s">
        <v>402</v>
      </c>
      <c r="G168" s="223" t="s">
        <v>200</v>
      </c>
      <c r="H168" s="596"/>
      <c r="I168" s="598"/>
      <c r="J168" s="600"/>
    </row>
    <row r="169" spans="1:10" s="205" customFormat="1" ht="56.1" customHeight="1" x14ac:dyDescent="0.25">
      <c r="A169" s="225">
        <v>12</v>
      </c>
      <c r="B169" s="225" t="s">
        <v>520</v>
      </c>
      <c r="C169" s="33"/>
      <c r="D169" s="202">
        <v>21343.51</v>
      </c>
      <c r="E169" s="202">
        <v>8893.15</v>
      </c>
      <c r="F169" s="202">
        <f>18670.79-E169</f>
        <v>9777.6400000000012</v>
      </c>
      <c r="G169" s="218">
        <f t="shared" ref="G169" si="60">E169+F169</f>
        <v>18670.79</v>
      </c>
      <c r="H169" s="203">
        <f t="shared" ref="H169:H170" si="61">IFERROR(G169/D169*100-100,0)</f>
        <v>-12.522401423196087</v>
      </c>
      <c r="I169" s="290"/>
      <c r="J169" s="219">
        <f t="shared" ref="J169" si="62">IFERROR(I169/G169*100,)</f>
        <v>0</v>
      </c>
    </row>
    <row r="170" spans="1:10" s="205" customFormat="1" ht="56.1" customHeight="1" x14ac:dyDescent="0.25">
      <c r="A170" s="582" t="s">
        <v>0</v>
      </c>
      <c r="B170" s="582"/>
      <c r="C170" s="582"/>
      <c r="D170" s="190">
        <f>SUM(D169:D169)</f>
        <v>21343.51</v>
      </c>
      <c r="E170" s="190">
        <f>SUM(E169:E169)</f>
        <v>8893.15</v>
      </c>
      <c r="F170" s="190">
        <f>SUM(F169:F169)</f>
        <v>9777.6400000000012</v>
      </c>
      <c r="G170" s="190">
        <f>SUM(G169:G169)</f>
        <v>18670.79</v>
      </c>
      <c r="H170" s="190">
        <f t="shared" si="61"/>
        <v>-12.522401423196087</v>
      </c>
      <c r="I170" s="291">
        <f>SUM(I169:I169)</f>
        <v>0</v>
      </c>
      <c r="J170" s="190">
        <f t="shared" ref="J170" si="63">IFERROR(I170/G170*100,)</f>
        <v>0</v>
      </c>
    </row>
    <row r="171" spans="1:10" s="205" customFormat="1" ht="56.1" customHeight="1" x14ac:dyDescent="0.25">
      <c r="A171" s="227"/>
      <c r="B171" s="227"/>
      <c r="C171" s="227"/>
      <c r="D171" s="228"/>
      <c r="E171" s="228"/>
      <c r="F171" s="228"/>
      <c r="G171" s="228"/>
      <c r="H171" s="293"/>
      <c r="I171" s="228"/>
      <c r="J171" s="228"/>
    </row>
    <row r="172" spans="1:10" s="205" customFormat="1" ht="56.1" customHeight="1" x14ac:dyDescent="0.25">
      <c r="A172" s="586" t="s">
        <v>77</v>
      </c>
      <c r="B172" s="587"/>
      <c r="C172" s="588" t="s">
        <v>535</v>
      </c>
      <c r="D172" s="588"/>
      <c r="E172" s="588"/>
      <c r="F172" s="588"/>
      <c r="G172" s="588"/>
      <c r="H172" s="588"/>
      <c r="I172" s="588"/>
      <c r="J172" s="589"/>
    </row>
    <row r="173" spans="1:10" s="205" customFormat="1" ht="56.1" customHeight="1" x14ac:dyDescent="0.25">
      <c r="A173" s="587" t="s">
        <v>41</v>
      </c>
      <c r="B173" s="587"/>
      <c r="C173" s="590" t="str">
        <f>'Quadro Geral'!G10</f>
        <v>Assegurar a eficácia no atendimento e no relacionamento com os Arquitetos e Urbanistas e a Sociedade</v>
      </c>
      <c r="D173" s="590"/>
      <c r="E173" s="590"/>
      <c r="F173" s="590"/>
      <c r="G173" s="590"/>
      <c r="H173" s="590"/>
      <c r="I173" s="590"/>
      <c r="J173" s="591"/>
    </row>
    <row r="174" spans="1:10" s="205" customFormat="1" ht="56.1" customHeight="1" x14ac:dyDescent="0.25">
      <c r="A174" s="222"/>
      <c r="B174" s="222"/>
      <c r="C174" s="222"/>
      <c r="D174" s="85"/>
      <c r="E174" s="85"/>
      <c r="F174" s="85"/>
      <c r="G174" s="85"/>
      <c r="H174" s="292"/>
      <c r="I174" s="85" t="s">
        <v>221</v>
      </c>
      <c r="J174" s="85"/>
    </row>
    <row r="175" spans="1:10" s="205" customFormat="1" ht="56.1" customHeight="1" x14ac:dyDescent="0.25">
      <c r="A175" s="583" t="s">
        <v>386</v>
      </c>
      <c r="B175" s="584"/>
      <c r="C175" s="584"/>
      <c r="D175" s="583" t="s">
        <v>387</v>
      </c>
      <c r="E175" s="584"/>
      <c r="F175" s="584"/>
      <c r="G175" s="584"/>
      <c r="H175" s="585"/>
      <c r="I175" s="592" t="s">
        <v>222</v>
      </c>
      <c r="J175" s="593"/>
    </row>
    <row r="176" spans="1:10" s="205" customFormat="1" ht="56.1" customHeight="1" x14ac:dyDescent="0.25">
      <c r="A176" s="583" t="s">
        <v>83</v>
      </c>
      <c r="B176" s="584"/>
      <c r="C176" s="585"/>
      <c r="D176" s="594" t="s">
        <v>399</v>
      </c>
      <c r="E176" s="583" t="s">
        <v>400</v>
      </c>
      <c r="F176" s="584"/>
      <c r="G176" s="585"/>
      <c r="H176" s="596" t="s">
        <v>403</v>
      </c>
      <c r="I176" s="597" t="s">
        <v>404</v>
      </c>
      <c r="J176" s="599" t="s">
        <v>405</v>
      </c>
    </row>
    <row r="177" spans="1:12" s="205" customFormat="1" ht="56.1" customHeight="1" x14ac:dyDescent="0.25">
      <c r="A177" s="223" t="s">
        <v>191</v>
      </c>
      <c r="B177" s="223" t="s">
        <v>190</v>
      </c>
      <c r="C177" s="200" t="s">
        <v>132</v>
      </c>
      <c r="D177" s="595"/>
      <c r="E177" s="223" t="s">
        <v>401</v>
      </c>
      <c r="F177" s="223" t="s">
        <v>402</v>
      </c>
      <c r="G177" s="223" t="s">
        <v>200</v>
      </c>
      <c r="H177" s="596"/>
      <c r="I177" s="598"/>
      <c r="J177" s="600"/>
    </row>
    <row r="178" spans="1:12" s="205" customFormat="1" ht="56.1" customHeight="1" x14ac:dyDescent="0.25">
      <c r="A178" s="225">
        <v>12</v>
      </c>
      <c r="B178" s="225" t="s">
        <v>521</v>
      </c>
      <c r="C178" s="33"/>
      <c r="D178" s="202">
        <v>5700.74</v>
      </c>
      <c r="E178" s="202">
        <v>2375.3000000000002</v>
      </c>
      <c r="F178" s="202">
        <f>8158.23-E178</f>
        <v>5782.9299999999994</v>
      </c>
      <c r="G178" s="218">
        <f t="shared" ref="G178" si="64">E178+F178</f>
        <v>8158.23</v>
      </c>
      <c r="H178" s="203">
        <f t="shared" ref="H178:H179" si="65">IFERROR(G178/D178*100-100,0)</f>
        <v>43.108263137768063</v>
      </c>
      <c r="I178" s="290"/>
      <c r="J178" s="219">
        <f t="shared" ref="J178" si="66">IFERROR(I178/G178*100,)</f>
        <v>0</v>
      </c>
    </row>
    <row r="179" spans="1:12" s="205" customFormat="1" ht="56.1" customHeight="1" x14ac:dyDescent="0.25">
      <c r="A179" s="582" t="s">
        <v>0</v>
      </c>
      <c r="B179" s="582"/>
      <c r="C179" s="582"/>
      <c r="D179" s="190">
        <f>SUM(D178:D178)</f>
        <v>5700.74</v>
      </c>
      <c r="E179" s="190">
        <f>SUM(E178:E178)</f>
        <v>2375.3000000000002</v>
      </c>
      <c r="F179" s="190">
        <f>SUM(F178:F178)</f>
        <v>5782.9299999999994</v>
      </c>
      <c r="G179" s="190">
        <f>SUM(G178:G178)</f>
        <v>8158.23</v>
      </c>
      <c r="H179" s="190">
        <f t="shared" si="65"/>
        <v>43.108263137768063</v>
      </c>
      <c r="I179" s="291">
        <f>SUM(I178:I178)</f>
        <v>0</v>
      </c>
      <c r="J179" s="190">
        <f t="shared" ref="J179" si="67">IFERROR(I179/G179*100,)</f>
        <v>0</v>
      </c>
    </row>
    <row r="180" spans="1:12" s="205" customFormat="1" ht="56.1" customHeight="1" x14ac:dyDescent="0.25">
      <c r="A180" s="227"/>
      <c r="B180" s="227"/>
      <c r="C180" s="227"/>
      <c r="D180" s="228"/>
      <c r="E180" s="228"/>
      <c r="F180" s="228"/>
      <c r="G180" s="228"/>
      <c r="H180" s="293"/>
      <c r="I180" s="228"/>
      <c r="J180" s="228"/>
    </row>
    <row r="181" spans="1:12" s="205" customFormat="1" ht="56.1" customHeight="1" x14ac:dyDescent="0.25">
      <c r="A181" s="586" t="s">
        <v>77</v>
      </c>
      <c r="B181" s="587"/>
      <c r="C181" s="588" t="s">
        <v>536</v>
      </c>
      <c r="D181" s="588"/>
      <c r="E181" s="588"/>
      <c r="F181" s="588"/>
      <c r="G181" s="588"/>
      <c r="H181" s="588"/>
      <c r="I181" s="588"/>
      <c r="J181" s="589"/>
    </row>
    <row r="182" spans="1:12" s="205" customFormat="1" ht="56.1" customHeight="1" x14ac:dyDescent="0.25">
      <c r="A182" s="587" t="s">
        <v>41</v>
      </c>
      <c r="B182" s="587"/>
      <c r="C182" s="590" t="str">
        <f>'Quadro Geral'!G11</f>
        <v>Tornar a fiscalização um vetor de melhoria do exercício da Arquitetura e Urbanismo</v>
      </c>
      <c r="D182" s="590"/>
      <c r="E182" s="590"/>
      <c r="F182" s="590"/>
      <c r="G182" s="590"/>
      <c r="H182" s="590"/>
      <c r="I182" s="590"/>
      <c r="J182" s="591"/>
      <c r="L182" s="244"/>
    </row>
    <row r="183" spans="1:12" s="205" customFormat="1" ht="56.1" customHeight="1" x14ac:dyDescent="0.25">
      <c r="A183" s="222"/>
      <c r="B183" s="222"/>
      <c r="C183" s="222"/>
      <c r="D183" s="85"/>
      <c r="E183" s="85"/>
      <c r="F183" s="85"/>
      <c r="G183" s="85"/>
      <c r="H183" s="292"/>
      <c r="I183" s="85" t="s">
        <v>221</v>
      </c>
      <c r="J183" s="85"/>
    </row>
    <row r="184" spans="1:12" s="205" customFormat="1" ht="56.1" customHeight="1" x14ac:dyDescent="0.25">
      <c r="A184" s="583" t="s">
        <v>386</v>
      </c>
      <c r="B184" s="584"/>
      <c r="C184" s="584"/>
      <c r="D184" s="583" t="s">
        <v>387</v>
      </c>
      <c r="E184" s="584"/>
      <c r="F184" s="584"/>
      <c r="G184" s="584"/>
      <c r="H184" s="585"/>
      <c r="I184" s="592" t="s">
        <v>222</v>
      </c>
      <c r="J184" s="593"/>
    </row>
    <row r="185" spans="1:12" s="205" customFormat="1" ht="56.1" customHeight="1" x14ac:dyDescent="0.25">
      <c r="A185" s="583" t="s">
        <v>83</v>
      </c>
      <c r="B185" s="584"/>
      <c r="C185" s="585"/>
      <c r="D185" s="594" t="s">
        <v>399</v>
      </c>
      <c r="E185" s="583" t="s">
        <v>400</v>
      </c>
      <c r="F185" s="584"/>
      <c r="G185" s="585"/>
      <c r="H185" s="596" t="s">
        <v>403</v>
      </c>
      <c r="I185" s="597" t="s">
        <v>404</v>
      </c>
      <c r="J185" s="599" t="s">
        <v>405</v>
      </c>
    </row>
    <row r="186" spans="1:12" s="205" customFormat="1" ht="56.1" customHeight="1" x14ac:dyDescent="0.25">
      <c r="A186" s="223" t="s">
        <v>191</v>
      </c>
      <c r="B186" s="223" t="s">
        <v>190</v>
      </c>
      <c r="C186" s="200" t="s">
        <v>132</v>
      </c>
      <c r="D186" s="595"/>
      <c r="E186" s="223" t="s">
        <v>401</v>
      </c>
      <c r="F186" s="223" t="s">
        <v>402</v>
      </c>
      <c r="G186" s="223" t="s">
        <v>200</v>
      </c>
      <c r="H186" s="596"/>
      <c r="I186" s="598"/>
      <c r="J186" s="600"/>
    </row>
    <row r="187" spans="1:12" s="205" customFormat="1" ht="56.1" customHeight="1" x14ac:dyDescent="0.25">
      <c r="A187" s="225">
        <v>12</v>
      </c>
      <c r="B187" s="225" t="s">
        <v>523</v>
      </c>
      <c r="C187" s="33"/>
      <c r="D187" s="202">
        <v>47083.88</v>
      </c>
      <c r="E187" s="202">
        <v>19618.3</v>
      </c>
      <c r="F187" s="202">
        <f>57886.45-E187</f>
        <v>38268.149999999994</v>
      </c>
      <c r="G187" s="218">
        <f t="shared" ref="G187" si="68">E187+F187</f>
        <v>57886.45</v>
      </c>
      <c r="H187" s="203">
        <f t="shared" ref="H187:H188" si="69">IFERROR(G187/D187*100-100,0)</f>
        <v>22.943245119136321</v>
      </c>
      <c r="I187" s="290"/>
      <c r="J187" s="219">
        <f t="shared" ref="J187" si="70">IFERROR(I187/G187*100,)</f>
        <v>0</v>
      </c>
    </row>
    <row r="188" spans="1:12" s="205" customFormat="1" ht="56.1" customHeight="1" x14ac:dyDescent="0.25">
      <c r="A188" s="582" t="s">
        <v>0</v>
      </c>
      <c r="B188" s="582"/>
      <c r="C188" s="582"/>
      <c r="D188" s="190">
        <f>SUM(D187:D187)</f>
        <v>47083.88</v>
      </c>
      <c r="E188" s="190">
        <f>SUM(E187:E187)</f>
        <v>19618.3</v>
      </c>
      <c r="F188" s="190">
        <f>SUM(F187:F187)</f>
        <v>38268.149999999994</v>
      </c>
      <c r="G188" s="190">
        <f>SUM(G187:G187)</f>
        <v>57886.45</v>
      </c>
      <c r="H188" s="190">
        <f t="shared" si="69"/>
        <v>22.943245119136321</v>
      </c>
      <c r="I188" s="291">
        <f>SUM(I187:I187)</f>
        <v>0</v>
      </c>
      <c r="J188" s="190">
        <f t="shared" ref="J188" si="71">IFERROR(I188/G188*100,)</f>
        <v>0</v>
      </c>
    </row>
    <row r="189" spans="1:12" s="205" customFormat="1" ht="56.1" customHeight="1" x14ac:dyDescent="0.25">
      <c r="A189" s="227"/>
      <c r="B189" s="227"/>
      <c r="C189" s="227"/>
      <c r="D189" s="228"/>
      <c r="E189" s="228"/>
      <c r="F189" s="228"/>
      <c r="G189" s="228"/>
      <c r="H189" s="293"/>
      <c r="I189" s="228"/>
      <c r="J189" s="228"/>
    </row>
    <row r="190" spans="1:12" s="205" customFormat="1" ht="56.1" customHeight="1" x14ac:dyDescent="0.25">
      <c r="A190" s="586" t="s">
        <v>77</v>
      </c>
      <c r="B190" s="587"/>
      <c r="C190" s="588" t="s">
        <v>537</v>
      </c>
      <c r="D190" s="588"/>
      <c r="E190" s="588"/>
      <c r="F190" s="588"/>
      <c r="G190" s="588"/>
      <c r="H190" s="588"/>
      <c r="I190" s="588"/>
      <c r="J190" s="589"/>
    </row>
    <row r="191" spans="1:12" s="205" customFormat="1" ht="56.1" customHeight="1" x14ac:dyDescent="0.25">
      <c r="A191" s="587" t="s">
        <v>41</v>
      </c>
      <c r="B191" s="587"/>
      <c r="C191" s="590" t="str">
        <f>'Quadro Geral'!G12</f>
        <v>Assegurar a sustentabilidade financeira</v>
      </c>
      <c r="D191" s="590"/>
      <c r="E191" s="590"/>
      <c r="F191" s="590"/>
      <c r="G191" s="590"/>
      <c r="H191" s="590"/>
      <c r="I191" s="590"/>
      <c r="J191" s="591"/>
    </row>
    <row r="192" spans="1:12" s="205" customFormat="1" ht="56.1" customHeight="1" x14ac:dyDescent="0.25">
      <c r="A192" s="222"/>
      <c r="B192" s="222"/>
      <c r="C192" s="222"/>
      <c r="D192" s="85"/>
      <c r="E192" s="85"/>
      <c r="F192" s="85"/>
      <c r="G192" s="85"/>
      <c r="H192" s="292"/>
      <c r="I192" s="85" t="s">
        <v>221</v>
      </c>
      <c r="J192" s="85"/>
    </row>
    <row r="193" spans="1:14" s="205" customFormat="1" ht="56.1" customHeight="1" x14ac:dyDescent="0.25">
      <c r="A193" s="583" t="s">
        <v>386</v>
      </c>
      <c r="B193" s="584"/>
      <c r="C193" s="584"/>
      <c r="D193" s="583" t="s">
        <v>387</v>
      </c>
      <c r="E193" s="584"/>
      <c r="F193" s="584"/>
      <c r="G193" s="584"/>
      <c r="H193" s="585"/>
      <c r="I193" s="592" t="s">
        <v>222</v>
      </c>
      <c r="J193" s="593"/>
    </row>
    <row r="194" spans="1:14" s="205" customFormat="1" ht="56.1" customHeight="1" x14ac:dyDescent="0.25">
      <c r="A194" s="583" t="s">
        <v>83</v>
      </c>
      <c r="B194" s="584"/>
      <c r="C194" s="585"/>
      <c r="D194" s="594" t="s">
        <v>399</v>
      </c>
      <c r="E194" s="583" t="s">
        <v>400</v>
      </c>
      <c r="F194" s="584"/>
      <c r="G194" s="585"/>
      <c r="H194" s="596" t="s">
        <v>403</v>
      </c>
      <c r="I194" s="597" t="s">
        <v>404</v>
      </c>
      <c r="J194" s="599" t="s">
        <v>405</v>
      </c>
    </row>
    <row r="195" spans="1:14" s="205" customFormat="1" ht="56.1" customHeight="1" x14ac:dyDescent="0.25">
      <c r="A195" s="223" t="s">
        <v>191</v>
      </c>
      <c r="B195" s="223" t="s">
        <v>190</v>
      </c>
      <c r="C195" s="200" t="s">
        <v>132</v>
      </c>
      <c r="D195" s="595"/>
      <c r="E195" s="223" t="s">
        <v>401</v>
      </c>
      <c r="F195" s="223" t="s">
        <v>402</v>
      </c>
      <c r="G195" s="223" t="s">
        <v>200</v>
      </c>
      <c r="H195" s="596"/>
      <c r="I195" s="598"/>
      <c r="J195" s="600"/>
    </row>
    <row r="196" spans="1:14" s="205" customFormat="1" ht="56.1" customHeight="1" x14ac:dyDescent="0.25">
      <c r="A196" s="225">
        <v>1</v>
      </c>
      <c r="B196" s="225" t="s">
        <v>522</v>
      </c>
      <c r="C196" s="33"/>
      <c r="D196" s="202">
        <v>10000</v>
      </c>
      <c r="E196" s="202">
        <v>0</v>
      </c>
      <c r="F196" s="202">
        <v>20000</v>
      </c>
      <c r="G196" s="218">
        <f t="shared" ref="G196" si="72">E196+F196</f>
        <v>20000</v>
      </c>
      <c r="H196" s="203">
        <f t="shared" ref="H196:H197" si="73">IFERROR(G196/D196*100-100,0)</f>
        <v>100</v>
      </c>
      <c r="I196" s="290"/>
      <c r="J196" s="219">
        <f t="shared" ref="J196" si="74">IFERROR(I196/G196*100,)</f>
        <v>0</v>
      </c>
    </row>
    <row r="197" spans="1:14" s="205" customFormat="1" ht="56.1" customHeight="1" x14ac:dyDescent="0.25">
      <c r="A197" s="582" t="s">
        <v>0</v>
      </c>
      <c r="B197" s="582"/>
      <c r="C197" s="582"/>
      <c r="D197" s="190">
        <f>SUM(D196:D196)</f>
        <v>10000</v>
      </c>
      <c r="E197" s="190">
        <f>SUM(E196:E196)</f>
        <v>0</v>
      </c>
      <c r="F197" s="190">
        <f>SUM(F196:F196)</f>
        <v>20000</v>
      </c>
      <c r="G197" s="190">
        <f>SUM(G196:G196)</f>
        <v>20000</v>
      </c>
      <c r="H197" s="190">
        <f t="shared" si="73"/>
        <v>100</v>
      </c>
      <c r="I197" s="291">
        <f>SUM(I196:I196)</f>
        <v>0</v>
      </c>
      <c r="J197" s="190">
        <f t="shared" ref="J197" si="75">IFERROR(I197/G197*100,)</f>
        <v>0</v>
      </c>
    </row>
    <row r="198" spans="1:14" s="205" customFormat="1" ht="56.1" customHeight="1" x14ac:dyDescent="0.25">
      <c r="A198" s="227"/>
      <c r="B198" s="227"/>
      <c r="C198" s="227"/>
      <c r="D198" s="228"/>
      <c r="E198" s="228"/>
      <c r="F198" s="228"/>
      <c r="G198" s="228"/>
      <c r="H198" s="293"/>
      <c r="I198" s="228"/>
      <c r="J198" s="228"/>
    </row>
    <row r="199" spans="1:14" s="205" customFormat="1" ht="56.1" customHeight="1" x14ac:dyDescent="0.25">
      <c r="A199" s="227"/>
      <c r="B199" s="227"/>
      <c r="C199" s="227"/>
      <c r="D199" s="230">
        <f>D197+D188+D179+D170+D161+D146+D131+D119+D109+D99+D90+D74+D57+D42</f>
        <v>1422300</v>
      </c>
      <c r="E199" s="230">
        <f>E197+E188+E179+E170+E161+E146+E131+E119+E109+E99+E90+E74+E57+E42</f>
        <v>479234.94</v>
      </c>
      <c r="F199" s="230">
        <f>F197+F188+F179+F170+F161+F146+F131+F119+F109+F99+F90+F74+F57+F42</f>
        <v>1179305.6400000001</v>
      </c>
      <c r="G199" s="230">
        <f>G197+G188+G179+G170+G161+G146+G131+G119+G109+G99+G90+G74+G57+G42</f>
        <v>1658540.58</v>
      </c>
      <c r="H199" s="293"/>
      <c r="I199" s="228"/>
      <c r="J199" s="228"/>
    </row>
    <row r="200" spans="1:14" ht="56.1" customHeight="1" x14ac:dyDescent="0.4">
      <c r="A200" s="614"/>
      <c r="B200" s="614"/>
      <c r="C200" s="614"/>
      <c r="D200" s="614"/>
      <c r="E200" s="614"/>
      <c r="F200" s="614"/>
      <c r="G200" s="614"/>
      <c r="H200" s="614"/>
      <c r="I200" s="614"/>
      <c r="J200" s="614"/>
    </row>
    <row r="201" spans="1:14" ht="56.1" customHeight="1" x14ac:dyDescent="0.4">
      <c r="A201" s="605" t="s">
        <v>361</v>
      </c>
      <c r="B201" s="606"/>
      <c r="C201" s="606"/>
      <c r="D201" s="606"/>
      <c r="E201" s="606"/>
      <c r="F201" s="606"/>
      <c r="G201" s="606"/>
      <c r="H201" s="606"/>
      <c r="I201" s="606"/>
      <c r="J201" s="607"/>
      <c r="L201" s="206"/>
    </row>
    <row r="202" spans="1:14" ht="199.5" customHeight="1" x14ac:dyDescent="0.4">
      <c r="A202" s="602"/>
      <c r="B202" s="603"/>
      <c r="C202" s="603"/>
      <c r="D202" s="603"/>
      <c r="E202" s="603"/>
      <c r="F202" s="603"/>
      <c r="G202" s="603"/>
      <c r="H202" s="603"/>
      <c r="I202" s="603"/>
      <c r="J202" s="604"/>
    </row>
    <row r="203" spans="1:14" ht="56.1" customHeight="1" x14ac:dyDescent="0.4">
      <c r="A203" s="207"/>
      <c r="B203" s="207"/>
      <c r="C203" s="207"/>
      <c r="D203" s="207"/>
      <c r="E203" s="207"/>
      <c r="F203" s="207"/>
      <c r="G203" s="207"/>
      <c r="H203" s="294"/>
      <c r="I203" s="207"/>
      <c r="J203" s="207"/>
    </row>
    <row r="204" spans="1:14" ht="56.1" customHeight="1" x14ac:dyDescent="0.4">
      <c r="A204" s="605" t="s">
        <v>388</v>
      </c>
      <c r="B204" s="606"/>
      <c r="C204" s="606"/>
      <c r="D204" s="606"/>
      <c r="E204" s="606"/>
      <c r="F204" s="606"/>
      <c r="G204" s="606"/>
      <c r="H204" s="606"/>
      <c r="I204" s="606"/>
      <c r="J204" s="607"/>
      <c r="K204" s="86"/>
      <c r="L204" s="86"/>
      <c r="M204" s="86"/>
      <c r="N204" s="198"/>
    </row>
    <row r="205" spans="1:14" ht="223.5" customHeight="1" x14ac:dyDescent="0.4">
      <c r="A205" s="608" t="s">
        <v>406</v>
      </c>
      <c r="B205" s="609"/>
      <c r="C205" s="609"/>
      <c r="D205" s="609"/>
      <c r="E205" s="609"/>
      <c r="F205" s="609"/>
      <c r="G205" s="609"/>
      <c r="H205" s="609"/>
      <c r="I205" s="609"/>
      <c r="J205" s="610"/>
    </row>
    <row r="206" spans="1:14" ht="208.5" customHeight="1" x14ac:dyDescent="0.4">
      <c r="A206" s="611"/>
      <c r="B206" s="612"/>
      <c r="C206" s="612"/>
      <c r="D206" s="612"/>
      <c r="E206" s="612"/>
      <c r="F206" s="612"/>
      <c r="G206" s="612"/>
      <c r="H206" s="612"/>
      <c r="I206" s="612"/>
      <c r="J206" s="613"/>
    </row>
  </sheetData>
  <sheetProtection formatCells="0" formatRows="0" insertRows="0" deleteRows="0"/>
  <mergeCells count="208">
    <mergeCell ref="A202:J202"/>
    <mergeCell ref="A204:J204"/>
    <mergeCell ref="A205:J206"/>
    <mergeCell ref="A9:C9"/>
    <mergeCell ref="H9:H10"/>
    <mergeCell ref="I9:I10"/>
    <mergeCell ref="J9:J10"/>
    <mergeCell ref="A42:C42"/>
    <mergeCell ref="D9:D10"/>
    <mergeCell ref="E9:G9"/>
    <mergeCell ref="A200:J200"/>
    <mergeCell ref="A201:J201"/>
    <mergeCell ref="A57:C57"/>
    <mergeCell ref="A59:B59"/>
    <mergeCell ref="C59:J59"/>
    <mergeCell ref="A60:B60"/>
    <mergeCell ref="C60:J60"/>
    <mergeCell ref="A44:B44"/>
    <mergeCell ref="C44:J44"/>
    <mergeCell ref="A45:B45"/>
    <mergeCell ref="C45:J45"/>
    <mergeCell ref="A47:C47"/>
    <mergeCell ref="D47:H47"/>
    <mergeCell ref="I47:J47"/>
    <mergeCell ref="A8:C8"/>
    <mergeCell ref="D8:H8"/>
    <mergeCell ref="I8:J8"/>
    <mergeCell ref="C5:J5"/>
    <mergeCell ref="A4:J4"/>
    <mergeCell ref="A5:B5"/>
    <mergeCell ref="A6:B6"/>
    <mergeCell ref="C6:J6"/>
    <mergeCell ref="A48:C48"/>
    <mergeCell ref="D48:D49"/>
    <mergeCell ref="E48:G48"/>
    <mergeCell ref="H48:H49"/>
    <mergeCell ref="I48:I49"/>
    <mergeCell ref="J48:J49"/>
    <mergeCell ref="A74:C74"/>
    <mergeCell ref="A76:B76"/>
    <mergeCell ref="C76:J76"/>
    <mergeCell ref="A77:B77"/>
    <mergeCell ref="C77:J77"/>
    <mergeCell ref="I62:J62"/>
    <mergeCell ref="A63:C63"/>
    <mergeCell ref="D63:D64"/>
    <mergeCell ref="E63:G63"/>
    <mergeCell ref="H63:H64"/>
    <mergeCell ref="I63:I64"/>
    <mergeCell ref="J63:J64"/>
    <mergeCell ref="A62:C62"/>
    <mergeCell ref="D62:H62"/>
    <mergeCell ref="A90:C90"/>
    <mergeCell ref="A92:B92"/>
    <mergeCell ref="C92:J92"/>
    <mergeCell ref="A93:B93"/>
    <mergeCell ref="C93:J93"/>
    <mergeCell ref="A79:C79"/>
    <mergeCell ref="D79:H79"/>
    <mergeCell ref="I79:J79"/>
    <mergeCell ref="A80:C80"/>
    <mergeCell ref="D80:D81"/>
    <mergeCell ref="E80:G80"/>
    <mergeCell ref="H80:H81"/>
    <mergeCell ref="I80:I81"/>
    <mergeCell ref="J80:J81"/>
    <mergeCell ref="A99:C99"/>
    <mergeCell ref="A101:B101"/>
    <mergeCell ref="C101:J101"/>
    <mergeCell ref="A102:B102"/>
    <mergeCell ref="C102:J102"/>
    <mergeCell ref="A95:C95"/>
    <mergeCell ref="D95:H95"/>
    <mergeCell ref="I95:J95"/>
    <mergeCell ref="A96:C96"/>
    <mergeCell ref="D96:D97"/>
    <mergeCell ref="E96:G96"/>
    <mergeCell ref="H96:H97"/>
    <mergeCell ref="I96:I97"/>
    <mergeCell ref="J96:J97"/>
    <mergeCell ref="A109:C109"/>
    <mergeCell ref="A111:B111"/>
    <mergeCell ref="C111:J111"/>
    <mergeCell ref="A112:B112"/>
    <mergeCell ref="C112:J112"/>
    <mergeCell ref="A104:C104"/>
    <mergeCell ref="D104:H104"/>
    <mergeCell ref="I104:J104"/>
    <mergeCell ref="A105:C105"/>
    <mergeCell ref="D105:D106"/>
    <mergeCell ref="E105:G105"/>
    <mergeCell ref="H105:H106"/>
    <mergeCell ref="I105:I106"/>
    <mergeCell ref="J105:J106"/>
    <mergeCell ref="A119:C119"/>
    <mergeCell ref="A121:B121"/>
    <mergeCell ref="C121:J121"/>
    <mergeCell ref="A122:B122"/>
    <mergeCell ref="C122:J122"/>
    <mergeCell ref="A114:C114"/>
    <mergeCell ref="D114:H114"/>
    <mergeCell ref="I114:J114"/>
    <mergeCell ref="A115:C115"/>
    <mergeCell ref="D115:D116"/>
    <mergeCell ref="E115:G115"/>
    <mergeCell ref="H115:H116"/>
    <mergeCell ref="I115:I116"/>
    <mergeCell ref="J115:J116"/>
    <mergeCell ref="A131:C131"/>
    <mergeCell ref="A133:B133"/>
    <mergeCell ref="C133:J133"/>
    <mergeCell ref="A134:B134"/>
    <mergeCell ref="C134:J134"/>
    <mergeCell ref="A124:C124"/>
    <mergeCell ref="D124:H124"/>
    <mergeCell ref="I124:J124"/>
    <mergeCell ref="A125:C125"/>
    <mergeCell ref="D125:D126"/>
    <mergeCell ref="E125:G125"/>
    <mergeCell ref="H125:H126"/>
    <mergeCell ref="I125:I126"/>
    <mergeCell ref="J125:J126"/>
    <mergeCell ref="A146:C146"/>
    <mergeCell ref="A136:C136"/>
    <mergeCell ref="D136:H136"/>
    <mergeCell ref="I136:J136"/>
    <mergeCell ref="A137:C137"/>
    <mergeCell ref="D137:D138"/>
    <mergeCell ref="E137:G137"/>
    <mergeCell ref="H137:H138"/>
    <mergeCell ref="I137:I138"/>
    <mergeCell ref="J137:J138"/>
    <mergeCell ref="A161:C161"/>
    <mergeCell ref="A151:C151"/>
    <mergeCell ref="D151:H151"/>
    <mergeCell ref="I151:J151"/>
    <mergeCell ref="A152:C152"/>
    <mergeCell ref="D152:D153"/>
    <mergeCell ref="E152:G152"/>
    <mergeCell ref="H152:H153"/>
    <mergeCell ref="I152:I153"/>
    <mergeCell ref="J152:J153"/>
    <mergeCell ref="I175:J175"/>
    <mergeCell ref="A176:C176"/>
    <mergeCell ref="D176:D177"/>
    <mergeCell ref="E176:G176"/>
    <mergeCell ref="H176:H177"/>
    <mergeCell ref="I176:I177"/>
    <mergeCell ref="J176:J177"/>
    <mergeCell ref="J167:J168"/>
    <mergeCell ref="A170:C170"/>
    <mergeCell ref="A172:B172"/>
    <mergeCell ref="C172:J172"/>
    <mergeCell ref="A173:B173"/>
    <mergeCell ref="C173:J173"/>
    <mergeCell ref="A167:C167"/>
    <mergeCell ref="D167:D168"/>
    <mergeCell ref="E167:G167"/>
    <mergeCell ref="H167:H168"/>
    <mergeCell ref="I167:I168"/>
    <mergeCell ref="I184:J184"/>
    <mergeCell ref="A185:C185"/>
    <mergeCell ref="D185:D186"/>
    <mergeCell ref="E185:G185"/>
    <mergeCell ref="H185:H186"/>
    <mergeCell ref="I185:I186"/>
    <mergeCell ref="J185:J186"/>
    <mergeCell ref="A179:C179"/>
    <mergeCell ref="A181:B181"/>
    <mergeCell ref="C181:J181"/>
    <mergeCell ref="A182:B182"/>
    <mergeCell ref="C182:J182"/>
    <mergeCell ref="I193:J193"/>
    <mergeCell ref="A194:C194"/>
    <mergeCell ref="D194:D195"/>
    <mergeCell ref="E194:G194"/>
    <mergeCell ref="H194:H195"/>
    <mergeCell ref="I194:I195"/>
    <mergeCell ref="J194:J195"/>
    <mergeCell ref="A188:C188"/>
    <mergeCell ref="A190:B190"/>
    <mergeCell ref="C190:J190"/>
    <mergeCell ref="A191:B191"/>
    <mergeCell ref="C191:J191"/>
    <mergeCell ref="A1:C1"/>
    <mergeCell ref="D1:H1"/>
    <mergeCell ref="A2:C2"/>
    <mergeCell ref="D2:D3"/>
    <mergeCell ref="E2:G2"/>
    <mergeCell ref="H2:H3"/>
    <mergeCell ref="A197:C197"/>
    <mergeCell ref="A193:C193"/>
    <mergeCell ref="D193:H193"/>
    <mergeCell ref="A184:C184"/>
    <mergeCell ref="D184:H184"/>
    <mergeCell ref="A175:C175"/>
    <mergeCell ref="D175:H175"/>
    <mergeCell ref="A163:B163"/>
    <mergeCell ref="C163:J163"/>
    <mergeCell ref="A164:B164"/>
    <mergeCell ref="C164:J164"/>
    <mergeCell ref="A166:C166"/>
    <mergeCell ref="D166:H166"/>
    <mergeCell ref="I166:J166"/>
    <mergeCell ref="A148:B148"/>
    <mergeCell ref="C148:J148"/>
    <mergeCell ref="A149:B149"/>
    <mergeCell ref="C149:J149"/>
  </mergeCells>
  <dataValidations disablePrompts="1" count="1">
    <dataValidation type="list" allowBlank="1" showInputMessage="1" showErrorMessage="1" sqref="AP10:AP26" xr:uid="{00000000-0002-0000-0800-000000000000}">
      <formula1>$AP$10:$AP$11</formula1>
    </dataValidation>
  </dataValidations>
  <pageMargins left="0.51181102362204722" right="0.51181102362204722" top="0.78740157480314965" bottom="0.78740157480314965" header="0.31496062992125984" footer="0.31496062992125984"/>
  <pageSetup paperSize="9" scale="4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800-000001000000}">
          <x14:formula1>
            <xm:f>'S:\ASSESSORIA DE PLANEJAMENTO E GESTAO DA ESTRATEGIA\2021\Programação 2021\Diretrizes 2021\Modelos\[Modelo para Elaboração da Programação do Plano de Ação e Orçamento CAUUF – 2021.xlsx]Resumo'!#REF!</xm:f>
          </x14:formula1>
          <xm:sqref>C6:J6</xm:sqref>
        </x14:dataValidation>
        <x14:dataValidation type="list" allowBlank="1" showInputMessage="1" showErrorMessage="1" xr:uid="{00000000-0002-0000-0800-000002000000}">
          <x14:formula1>
            <xm:f>'AÇÕES ESTRATÉGICAS - DESCRIÇÃO'!$C$2:$C$23</xm:f>
          </x14:formula1>
          <xm:sqref>C11:C40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4</vt:i4>
      </vt:variant>
    </vt:vector>
  </HeadingPairs>
  <TitlesOfParts>
    <vt:vector size="15" baseType="lpstr">
      <vt:lpstr>Resumo (2)</vt:lpstr>
      <vt:lpstr>Orientações Iniciais</vt:lpstr>
      <vt:lpstr>Mapa Estratégico e ODS </vt:lpstr>
      <vt:lpstr>Indicadores e Metas</vt:lpstr>
      <vt:lpstr>Quadro Geral</vt:lpstr>
      <vt:lpstr>Anexo 1. Fontes e Aplicações</vt:lpstr>
      <vt:lpstr>Anexo 2. Limites Estratégicos</vt:lpstr>
      <vt:lpstr>Anexo 3. Elemento de Despesas</vt:lpstr>
      <vt:lpstr>Anexo 4.Quadro Descritivo.</vt:lpstr>
      <vt:lpstr>Resumo</vt:lpstr>
      <vt:lpstr>AÇÕES ESTRATÉGICAS - DESCRIÇÃO</vt:lpstr>
      <vt:lpstr>'Anexo 1. Fontes e Aplicações'!Area_de_impressao</vt:lpstr>
      <vt:lpstr>'Indicadores e Metas'!Area_de_impressao</vt:lpstr>
      <vt:lpstr>'Mapa Estratégico e ODS '!Area_de_impressao</vt:lpstr>
      <vt:lpstr>'Quadro Geral'!Area_de_impressao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 Rios Costa</dc:creator>
  <cp:lastModifiedBy>João</cp:lastModifiedBy>
  <cp:lastPrinted>2021-10-04T16:13:49Z</cp:lastPrinted>
  <dcterms:created xsi:type="dcterms:W3CDTF">2013-07-30T15:20:59Z</dcterms:created>
  <dcterms:modified xsi:type="dcterms:W3CDTF">2022-10-17T14:19:10Z</dcterms:modified>
</cp:coreProperties>
</file>